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<sst xmlns="http://schemas.openxmlformats.org/spreadsheetml/2006/main" count="250" uniqueCount="83">
  <si>
    <t>海口市妇幼保健院2024年公开招聘编外工作人员进入面试人员名册</t>
  </si>
  <si>
    <t>序号</t>
  </si>
  <si>
    <t>考生姓名</t>
  </si>
  <si>
    <t>竞聘岗位</t>
  </si>
  <si>
    <t>性别</t>
  </si>
  <si>
    <t>出生年月</t>
  </si>
  <si>
    <t>学历</t>
  </si>
  <si>
    <t>学位</t>
  </si>
  <si>
    <t>所学专业</t>
  </si>
  <si>
    <t>职称</t>
  </si>
  <si>
    <t>笔试成绩</t>
  </si>
  <si>
    <t>合格分数线</t>
  </si>
  <si>
    <t>备注</t>
  </si>
  <si>
    <t>0116-妇幼保健科员</t>
  </si>
  <si>
    <t>医师</t>
  </si>
  <si>
    <t>0101-男科保健医师</t>
  </si>
  <si>
    <t>赵永芳</t>
  </si>
  <si>
    <t>0103-技术人员</t>
  </si>
  <si>
    <t>周菊秋</t>
  </si>
  <si>
    <t>王心怡</t>
  </si>
  <si>
    <t>0106-护士1</t>
  </si>
  <si>
    <t>护士</t>
  </si>
  <si>
    <t>林芯如</t>
  </si>
  <si>
    <t>陈华梅</t>
  </si>
  <si>
    <t>孙雅会</t>
  </si>
  <si>
    <t>陈晓霞</t>
  </si>
  <si>
    <t>0107-护士2</t>
  </si>
  <si>
    <t>马瑛谨</t>
  </si>
  <si>
    <t>曾梦茹</t>
  </si>
  <si>
    <t>文开婷</t>
  </si>
  <si>
    <t>陈欣颖</t>
  </si>
  <si>
    <t>邢贞萍</t>
  </si>
  <si>
    <t>柯岚</t>
  </si>
  <si>
    <t>刘凤</t>
  </si>
  <si>
    <t>蒙淑雅</t>
  </si>
  <si>
    <t>苏益妹</t>
  </si>
  <si>
    <t>陈俊姬</t>
  </si>
  <si>
    <t>蔡水甜</t>
  </si>
  <si>
    <t>王丽娟</t>
  </si>
  <si>
    <t>陈莹莹</t>
  </si>
  <si>
    <t>陈小媛</t>
  </si>
  <si>
    <t>谢丕莹</t>
  </si>
  <si>
    <t>蔡婷婷</t>
  </si>
  <si>
    <t>陈瑾</t>
  </si>
  <si>
    <t>李孟腾</t>
  </si>
  <si>
    <t>邢维婷</t>
  </si>
  <si>
    <t>王生媛</t>
  </si>
  <si>
    <t>李引桂</t>
  </si>
  <si>
    <t>陈丽佳</t>
  </si>
  <si>
    <t>符丹哲</t>
  </si>
  <si>
    <t>符颖萍</t>
  </si>
  <si>
    <t>谭璇</t>
  </si>
  <si>
    <t>李彦俊</t>
  </si>
  <si>
    <t>文周平</t>
  </si>
  <si>
    <t>徐雯蕙</t>
  </si>
  <si>
    <t>刘宇佟</t>
  </si>
  <si>
    <t>替补</t>
  </si>
  <si>
    <t>黄体情</t>
  </si>
  <si>
    <t>王佳琪</t>
  </si>
  <si>
    <t>复审不合格</t>
  </si>
  <si>
    <t>0115-儿童语言康复治疗师</t>
  </si>
  <si>
    <t>符策渠</t>
  </si>
  <si>
    <t>0114-儿童运动康复治疗师</t>
  </si>
  <si>
    <t>0124-康复技师</t>
  </si>
  <si>
    <t>吴旭霖</t>
  </si>
  <si>
    <t>0129-办公室科员</t>
  </si>
  <si>
    <t>陈昱妃</t>
  </si>
  <si>
    <t>汪露露</t>
  </si>
  <si>
    <t>0110-视光师</t>
  </si>
  <si>
    <t>0120-儿科医生2</t>
  </si>
  <si>
    <t>郑永伦</t>
  </si>
  <si>
    <t>0118-中医科医师2</t>
  </si>
  <si>
    <t>林美婕</t>
  </si>
  <si>
    <t>0123-产前诊断中心临床医生</t>
  </si>
  <si>
    <t>李伟成</t>
  </si>
  <si>
    <t>0125-乳腺外科医师</t>
  </si>
  <si>
    <t>冯小晨</t>
  </si>
  <si>
    <t>0126-病案室编码员</t>
  </si>
  <si>
    <t>女</t>
  </si>
  <si>
    <t>注：复审不提交材料视同为复审不合格。</t>
  </si>
  <si>
    <t>户籍</t>
  </si>
  <si>
    <t>应届生</t>
  </si>
  <si>
    <t>编码技能水平合格证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</si>
</sst>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</font>
    <font>
      <sz val="20"/>
      <color theme="1"/>
      <name val="仿宋_GB2312"/>
      <charset val="134"/>
    </font>
    <font>
      <sz val="20"/>
      <color theme="1"/>
      <name val="仿宋"/>
      <charset val="134"/>
    </font>
    <font>
      <sz val="20"/>
      <name val="仿宋"/>
      <charset val="134"/>
    </font>
    <font>
      <sz val="2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zoomScale="80" zoomScaleNormal="80" topLeftCell="A49" workbookViewId="0">
      <selection activeCell="C74" sqref="C74"/>
    </sheetView>
  </sheetViews>
  <sheetFormatPr defaultColWidth="9" defaultRowHeight="13.5"/>
  <cols>
    <col min="1" max="1" width="9.58333333333333" customWidth="1"/>
    <col min="2" max="2" width="16.875" customWidth="1"/>
    <col min="3" max="3" width="43.125" customWidth="1"/>
    <col min="4" max="4" width="14.7916666666667" customWidth="1"/>
    <col min="5" max="5" width="23.3333333333333" customWidth="1"/>
    <col min="6" max="6" width="15.2083333333333" customWidth="1"/>
    <col min="7" max="7" width="14.5833333333333" customWidth="1"/>
    <col min="8" max="8" width="26.25" customWidth="1"/>
    <col min="9" max="9" width="29.7916666666667" customWidth="1"/>
    <col min="10" max="10" width="20.5" style="11" customWidth="1"/>
    <col min="11" max="11" width="21.25" customWidth="1"/>
    <col min="12" max="12" width="32.9166666666667" customWidth="1"/>
  </cols>
  <sheetData>
    <row r="1" ht="72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7"/>
      <c r="K1" s="12"/>
    </row>
    <row r="2" ht="68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</row>
    <row r="3" ht="28" customHeight="1" spans="1:12">
      <c r="A3" s="14">
        <v>1</v>
      </c>
      <c r="B3" s="15" t="str">
        <f>"张开琴"</f>
        <v>张开琴</v>
      </c>
      <c r="C3" s="15" t="s">
        <v>13</v>
      </c>
      <c r="D3" s="15" t="str">
        <f>"女"</f>
        <v>女</v>
      </c>
      <c r="E3" s="15" t="str">
        <f>"1995-12-11"</f>
        <v>1995-12-11</v>
      </c>
      <c r="F3" s="15" t="str">
        <f>"研究生"</f>
        <v>研究生</v>
      </c>
      <c r="G3" s="15" t="str">
        <f>"硕士"</f>
        <v>硕士</v>
      </c>
      <c r="H3" s="15" t="str">
        <f>"公共卫生"</f>
        <v>公共卫生</v>
      </c>
      <c r="I3" s="15" t="s">
        <v>14</v>
      </c>
      <c r="J3" s="18">
        <v>68</v>
      </c>
      <c r="K3" s="19">
        <v>62</v>
      </c>
      <c r="L3" s="20"/>
    </row>
    <row r="4" ht="28" customHeight="1" spans="1:12">
      <c r="A4" s="14">
        <v>2</v>
      </c>
      <c r="B4" s="15" t="str">
        <f>"邱健敏"</f>
        <v>邱健敏</v>
      </c>
      <c r="C4" s="15" t="s">
        <v>13</v>
      </c>
      <c r="D4" s="15" t="str">
        <f>"女"</f>
        <v>女</v>
      </c>
      <c r="E4" s="15" t="str">
        <f>"1996-07-18"</f>
        <v>1996-07-18</v>
      </c>
      <c r="F4" s="15" t="str">
        <f>"研究生"</f>
        <v>研究生</v>
      </c>
      <c r="G4" s="15" t="str">
        <f>"硕士"</f>
        <v>硕士</v>
      </c>
      <c r="H4" s="15" t="str">
        <f>"公共卫生"</f>
        <v>公共卫生</v>
      </c>
      <c r="I4" s="15" t="str">
        <f>"医师"</f>
        <v>医师</v>
      </c>
      <c r="J4" s="18">
        <v>63.5</v>
      </c>
      <c r="K4" s="21"/>
      <c r="L4" s="20"/>
    </row>
    <row r="5" ht="28" customHeight="1" spans="1:12">
      <c r="A5" s="14">
        <v>3</v>
      </c>
      <c r="B5" s="15" t="str">
        <f>"范世恒"</f>
        <v>范世恒</v>
      </c>
      <c r="C5" s="15" t="s">
        <v>13</v>
      </c>
      <c r="D5" s="15" t="str">
        <f>"男"</f>
        <v>男</v>
      </c>
      <c r="E5" s="15" t="str">
        <f>"1997-01-16"</f>
        <v>1997-01-16</v>
      </c>
      <c r="F5" s="15" t="str">
        <f>"研究生"</f>
        <v>研究生</v>
      </c>
      <c r="G5" s="15" t="str">
        <f>"硕士"</f>
        <v>硕士</v>
      </c>
      <c r="H5" s="15" t="str">
        <f>"公共卫生"</f>
        <v>公共卫生</v>
      </c>
      <c r="I5" s="15" t="s">
        <v>14</v>
      </c>
      <c r="J5" s="18">
        <v>62.5</v>
      </c>
      <c r="K5" s="22"/>
      <c r="L5" s="20"/>
    </row>
    <row r="6" ht="28" customHeight="1" spans="1:12">
      <c r="A6" s="14">
        <v>4</v>
      </c>
      <c r="B6" s="15" t="str">
        <f>"符小鹏"</f>
        <v>符小鹏</v>
      </c>
      <c r="C6" s="15" t="s">
        <v>15</v>
      </c>
      <c r="D6" s="15" t="str">
        <f>"男"</f>
        <v>男</v>
      </c>
      <c r="E6" s="15" t="str">
        <f>"1994-12-09"</f>
        <v>1994-12-09</v>
      </c>
      <c r="F6" s="15" t="str">
        <f t="shared" ref="F6:F15" si="0">"本科"</f>
        <v>本科</v>
      </c>
      <c r="G6" s="15" t="str">
        <f t="shared" ref="G6:G15" si="1">"学士"</f>
        <v>学士</v>
      </c>
      <c r="H6" s="15" t="str">
        <f>"临床医学"</f>
        <v>临床医学</v>
      </c>
      <c r="I6" s="15" t="str">
        <f>"主治医师"</f>
        <v>主治医师</v>
      </c>
      <c r="J6" s="18">
        <v>67</v>
      </c>
      <c r="K6" s="18">
        <v>63</v>
      </c>
      <c r="L6" s="20"/>
    </row>
    <row r="7" ht="28" customHeight="1" spans="1:12">
      <c r="A7" s="14">
        <v>5</v>
      </c>
      <c r="B7" s="15" t="s">
        <v>16</v>
      </c>
      <c r="C7" s="15" t="s">
        <v>17</v>
      </c>
      <c r="D7" s="15" t="str">
        <f t="shared" ref="D7:D15" si="2">"女"</f>
        <v>女</v>
      </c>
      <c r="E7" s="15" t="str">
        <f>"1998-12-11"</f>
        <v>1998-12-11</v>
      </c>
      <c r="F7" s="15" t="str">
        <f t="shared" si="0"/>
        <v>本科</v>
      </c>
      <c r="G7" s="15" t="str">
        <f t="shared" si="1"/>
        <v>学士</v>
      </c>
      <c r="H7" s="15" t="str">
        <f>"医学影像技术"</f>
        <v>医学影像技术</v>
      </c>
      <c r="I7" s="15" t="str">
        <f>"放射医学技术师"</f>
        <v>放射医学技术师</v>
      </c>
      <c r="J7" s="18">
        <v>60</v>
      </c>
      <c r="K7" s="19">
        <v>59</v>
      </c>
      <c r="L7" s="20"/>
    </row>
    <row r="8" ht="28" customHeight="1" spans="1:12">
      <c r="A8" s="14">
        <v>6</v>
      </c>
      <c r="B8" s="15" t="s">
        <v>18</v>
      </c>
      <c r="C8" s="15" t="s">
        <v>17</v>
      </c>
      <c r="D8" s="15" t="str">
        <f t="shared" si="2"/>
        <v>女</v>
      </c>
      <c r="E8" s="15" t="str">
        <f>"1997-02-10"</f>
        <v>1997-02-10</v>
      </c>
      <c r="F8" s="15" t="str">
        <f t="shared" si="0"/>
        <v>本科</v>
      </c>
      <c r="G8" s="15" t="str">
        <f t="shared" si="1"/>
        <v>学士</v>
      </c>
      <c r="H8" s="15" t="str">
        <f>"医学影像技术"</f>
        <v>医学影像技术</v>
      </c>
      <c r="I8" s="15" t="str">
        <f>"放射医学技术师"</f>
        <v>放射医学技术师</v>
      </c>
      <c r="J8" s="18">
        <v>59.5</v>
      </c>
      <c r="K8" s="22"/>
      <c r="L8" s="20"/>
    </row>
    <row r="9" ht="28" customHeight="1" spans="1:12">
      <c r="A9" s="14">
        <v>7</v>
      </c>
      <c r="B9" s="15" t="s">
        <v>19</v>
      </c>
      <c r="C9" s="15" t="s">
        <v>20</v>
      </c>
      <c r="D9" s="15" t="str">
        <f t="shared" si="2"/>
        <v>女</v>
      </c>
      <c r="E9" s="15" t="str">
        <f>"2002-06-21"</f>
        <v>2002-06-21</v>
      </c>
      <c r="F9" s="15" t="str">
        <f t="shared" si="0"/>
        <v>本科</v>
      </c>
      <c r="G9" s="15" t="str">
        <f t="shared" si="1"/>
        <v>学士</v>
      </c>
      <c r="H9" s="15" t="str">
        <f t="shared" ref="H9:H11" si="3">"助产学"</f>
        <v>助产学</v>
      </c>
      <c r="I9" s="15" t="s">
        <v>21</v>
      </c>
      <c r="J9" s="18">
        <v>76.5</v>
      </c>
      <c r="K9" s="19">
        <v>66</v>
      </c>
      <c r="L9" s="20"/>
    </row>
    <row r="10" ht="28" customHeight="1" spans="1:12">
      <c r="A10" s="14">
        <v>8</v>
      </c>
      <c r="B10" s="15" t="s">
        <v>22</v>
      </c>
      <c r="C10" s="15" t="s">
        <v>20</v>
      </c>
      <c r="D10" s="15" t="str">
        <f t="shared" si="2"/>
        <v>女</v>
      </c>
      <c r="E10" s="15" t="str">
        <f>"2001-05-20"</f>
        <v>2001-05-20</v>
      </c>
      <c r="F10" s="15" t="str">
        <f t="shared" si="0"/>
        <v>本科</v>
      </c>
      <c r="G10" s="15" t="str">
        <f t="shared" si="1"/>
        <v>学士</v>
      </c>
      <c r="H10" s="15" t="str">
        <f t="shared" si="3"/>
        <v>助产学</v>
      </c>
      <c r="I10" s="15" t="s">
        <v>21</v>
      </c>
      <c r="J10" s="18">
        <v>73.5</v>
      </c>
      <c r="K10" s="21"/>
      <c r="L10" s="20"/>
    </row>
    <row r="11" ht="28" customHeight="1" spans="1:12">
      <c r="A11" s="14">
        <v>9</v>
      </c>
      <c r="B11" s="15" t="s">
        <v>23</v>
      </c>
      <c r="C11" s="15" t="s">
        <v>20</v>
      </c>
      <c r="D11" s="15" t="str">
        <f t="shared" si="2"/>
        <v>女</v>
      </c>
      <c r="E11" s="15" t="str">
        <f>"2000-06-25"</f>
        <v>2000-06-25</v>
      </c>
      <c r="F11" s="15" t="str">
        <f t="shared" si="0"/>
        <v>本科</v>
      </c>
      <c r="G11" s="15" t="str">
        <f t="shared" si="1"/>
        <v>学士</v>
      </c>
      <c r="H11" s="15" t="str">
        <f t="shared" si="3"/>
        <v>助产学</v>
      </c>
      <c r="I11" s="15" t="s">
        <v>21</v>
      </c>
      <c r="J11" s="18">
        <v>70.5</v>
      </c>
      <c r="K11" s="21"/>
      <c r="L11" s="20"/>
    </row>
    <row r="12" ht="28" customHeight="1" spans="1:12">
      <c r="A12" s="14">
        <v>10</v>
      </c>
      <c r="B12" s="15" t="s">
        <v>24</v>
      </c>
      <c r="C12" s="15" t="s">
        <v>20</v>
      </c>
      <c r="D12" s="15" t="str">
        <f t="shared" si="2"/>
        <v>女</v>
      </c>
      <c r="E12" s="15" t="str">
        <f>"1993-01-18"</f>
        <v>1993-01-18</v>
      </c>
      <c r="F12" s="15" t="str">
        <f t="shared" si="0"/>
        <v>本科</v>
      </c>
      <c r="G12" s="15" t="str">
        <f t="shared" si="1"/>
        <v>学士</v>
      </c>
      <c r="H12" s="15" t="str">
        <f>"助产护理学"</f>
        <v>助产护理学</v>
      </c>
      <c r="I12" s="15" t="str">
        <f>"护师"</f>
        <v>护师</v>
      </c>
      <c r="J12" s="18">
        <v>67.5</v>
      </c>
      <c r="K12" s="22"/>
      <c r="L12" s="20"/>
    </row>
    <row r="13" ht="28" customHeight="1" spans="1:12">
      <c r="A13" s="14">
        <v>11</v>
      </c>
      <c r="B13" s="15" t="s">
        <v>25</v>
      </c>
      <c r="C13" s="15" t="s">
        <v>26</v>
      </c>
      <c r="D13" s="15" t="str">
        <f t="shared" si="2"/>
        <v>女</v>
      </c>
      <c r="E13" s="15" t="str">
        <f>"2001-03-11"</f>
        <v>2001-03-11</v>
      </c>
      <c r="F13" s="15" t="str">
        <f t="shared" si="0"/>
        <v>本科</v>
      </c>
      <c r="G13" s="15" t="str">
        <f t="shared" si="1"/>
        <v>学士</v>
      </c>
      <c r="H13" s="15" t="str">
        <f>"护理学"</f>
        <v>护理学</v>
      </c>
      <c r="I13" s="15" t="s">
        <v>21</v>
      </c>
      <c r="J13" s="18">
        <v>76</v>
      </c>
      <c r="K13" s="19">
        <v>58</v>
      </c>
      <c r="L13" s="20"/>
    </row>
    <row r="14" ht="28" customHeight="1" spans="1:12">
      <c r="A14" s="14">
        <v>12</v>
      </c>
      <c r="B14" s="15" t="s">
        <v>27</v>
      </c>
      <c r="C14" s="15" t="s">
        <v>26</v>
      </c>
      <c r="D14" s="15" t="str">
        <f t="shared" si="2"/>
        <v>女</v>
      </c>
      <c r="E14" s="15" t="str">
        <f>"2000-12-03"</f>
        <v>2000-12-03</v>
      </c>
      <c r="F14" s="15" t="str">
        <f t="shared" si="0"/>
        <v>本科</v>
      </c>
      <c r="G14" s="15" t="str">
        <f t="shared" si="1"/>
        <v>学士</v>
      </c>
      <c r="H14" s="15" t="str">
        <f>"护理"</f>
        <v>护理</v>
      </c>
      <c r="I14" s="15" t="str">
        <f>"护士"</f>
        <v>护士</v>
      </c>
      <c r="J14" s="18">
        <v>76</v>
      </c>
      <c r="K14" s="21"/>
      <c r="L14" s="20"/>
    </row>
    <row r="15" ht="28" customHeight="1" spans="1:12">
      <c r="A15" s="14">
        <v>13</v>
      </c>
      <c r="B15" s="15" t="s">
        <v>28</v>
      </c>
      <c r="C15" s="15" t="s">
        <v>26</v>
      </c>
      <c r="D15" s="15" t="str">
        <f t="shared" si="2"/>
        <v>女</v>
      </c>
      <c r="E15" s="15" t="str">
        <f>"2001-11-23"</f>
        <v>2001-11-23</v>
      </c>
      <c r="F15" s="15" t="str">
        <f t="shared" si="0"/>
        <v>本科</v>
      </c>
      <c r="G15" s="15" t="str">
        <f t="shared" si="1"/>
        <v>学士</v>
      </c>
      <c r="H15" s="15" t="str">
        <f>"护理学"</f>
        <v>护理学</v>
      </c>
      <c r="I15" s="15" t="str">
        <f>"护士"</f>
        <v>护士</v>
      </c>
      <c r="J15" s="18">
        <v>75.5</v>
      </c>
      <c r="K15" s="21"/>
      <c r="L15" s="20"/>
    </row>
    <row r="16" ht="28" customHeight="1" spans="1:12">
      <c r="A16" s="14">
        <v>14</v>
      </c>
      <c r="B16" s="15" t="s">
        <v>29</v>
      </c>
      <c r="C16" s="15" t="s">
        <v>26</v>
      </c>
      <c r="D16" s="15" t="str">
        <f t="shared" ref="D16:D30" si="4">"女"</f>
        <v>女</v>
      </c>
      <c r="E16" s="15" t="str">
        <f>"1999-10-26"</f>
        <v>1999-10-26</v>
      </c>
      <c r="F16" s="15" t="str">
        <f t="shared" ref="F16:F58" si="5">"本科"</f>
        <v>本科</v>
      </c>
      <c r="G16" s="15" t="str">
        <f t="shared" ref="G16:G58" si="6">"学士"</f>
        <v>学士</v>
      </c>
      <c r="H16" s="15" t="str">
        <f t="shared" ref="H16:H21" si="7">"护理"</f>
        <v>护理</v>
      </c>
      <c r="I16" s="15" t="str">
        <f>"护士"</f>
        <v>护士</v>
      </c>
      <c r="J16" s="18">
        <v>72</v>
      </c>
      <c r="K16" s="21"/>
      <c r="L16" s="20"/>
    </row>
    <row r="17" ht="28" customHeight="1" spans="1:12">
      <c r="A17" s="14">
        <v>15</v>
      </c>
      <c r="B17" s="15" t="s">
        <v>30</v>
      </c>
      <c r="C17" s="15" t="s">
        <v>26</v>
      </c>
      <c r="D17" s="15" t="str">
        <f t="shared" si="4"/>
        <v>女</v>
      </c>
      <c r="E17" s="15" t="str">
        <f>"1998-09-04"</f>
        <v>1998-09-04</v>
      </c>
      <c r="F17" s="15" t="str">
        <f t="shared" si="5"/>
        <v>本科</v>
      </c>
      <c r="G17" s="15" t="str">
        <f t="shared" si="6"/>
        <v>学士</v>
      </c>
      <c r="H17" s="15" t="str">
        <f t="shared" ref="H17:H23" si="8">"护理学"</f>
        <v>护理学</v>
      </c>
      <c r="I17" s="15" t="str">
        <f>"护士"</f>
        <v>护士</v>
      </c>
      <c r="J17" s="18">
        <v>71</v>
      </c>
      <c r="K17" s="21"/>
      <c r="L17" s="20"/>
    </row>
    <row r="18" ht="28" customHeight="1" spans="1:12">
      <c r="A18" s="14">
        <v>16</v>
      </c>
      <c r="B18" s="15" t="s">
        <v>31</v>
      </c>
      <c r="C18" s="15" t="s">
        <v>26</v>
      </c>
      <c r="D18" s="15" t="str">
        <f t="shared" si="4"/>
        <v>女</v>
      </c>
      <c r="E18" s="15" t="str">
        <f>"2002-02-25"</f>
        <v>2002-02-25</v>
      </c>
      <c r="F18" s="15" t="str">
        <f t="shared" si="5"/>
        <v>本科</v>
      </c>
      <c r="G18" s="15" t="str">
        <f t="shared" si="6"/>
        <v>学士</v>
      </c>
      <c r="H18" s="15" t="str">
        <f t="shared" si="8"/>
        <v>护理学</v>
      </c>
      <c r="I18" s="15" t="str">
        <f>"护士"</f>
        <v>护士</v>
      </c>
      <c r="J18" s="18">
        <v>70</v>
      </c>
      <c r="K18" s="21"/>
      <c r="L18" s="20"/>
    </row>
    <row r="19" ht="28" customHeight="1" spans="1:12">
      <c r="A19" s="14">
        <v>17</v>
      </c>
      <c r="B19" s="15" t="s">
        <v>32</v>
      </c>
      <c r="C19" s="15" t="s">
        <v>26</v>
      </c>
      <c r="D19" s="15" t="str">
        <f t="shared" si="4"/>
        <v>女</v>
      </c>
      <c r="E19" s="15" t="str">
        <f>"2002-12-08"</f>
        <v>2002-12-08</v>
      </c>
      <c r="F19" s="15" t="str">
        <f t="shared" si="5"/>
        <v>本科</v>
      </c>
      <c r="G19" s="15" t="str">
        <f t="shared" si="6"/>
        <v>学士</v>
      </c>
      <c r="H19" s="15" t="str">
        <f t="shared" si="7"/>
        <v>护理</v>
      </c>
      <c r="I19" s="15" t="s">
        <v>21</v>
      </c>
      <c r="J19" s="18">
        <v>69</v>
      </c>
      <c r="K19" s="21"/>
      <c r="L19" s="20"/>
    </row>
    <row r="20" ht="28" customHeight="1" spans="1:12">
      <c r="A20" s="14">
        <v>18</v>
      </c>
      <c r="B20" s="15" t="s">
        <v>33</v>
      </c>
      <c r="C20" s="15" t="s">
        <v>26</v>
      </c>
      <c r="D20" s="15" t="str">
        <f t="shared" si="4"/>
        <v>女</v>
      </c>
      <c r="E20" s="15" t="str">
        <f>"2001-01-22"</f>
        <v>2001-01-22</v>
      </c>
      <c r="F20" s="15" t="str">
        <f t="shared" si="5"/>
        <v>本科</v>
      </c>
      <c r="G20" s="15" t="str">
        <f t="shared" si="6"/>
        <v>学士</v>
      </c>
      <c r="H20" s="15" t="str">
        <f t="shared" si="7"/>
        <v>护理</v>
      </c>
      <c r="I20" s="15" t="s">
        <v>21</v>
      </c>
      <c r="J20" s="18">
        <v>69</v>
      </c>
      <c r="K20" s="21"/>
      <c r="L20" s="20"/>
    </row>
    <row r="21" ht="28" customHeight="1" spans="1:12">
      <c r="A21" s="14">
        <v>19</v>
      </c>
      <c r="B21" s="15" t="s">
        <v>34</v>
      </c>
      <c r="C21" s="15" t="s">
        <v>26</v>
      </c>
      <c r="D21" s="15" t="str">
        <f t="shared" si="4"/>
        <v>女</v>
      </c>
      <c r="E21" s="15" t="str">
        <f>"2001-06-22"</f>
        <v>2001-06-22</v>
      </c>
      <c r="F21" s="15" t="str">
        <f t="shared" si="5"/>
        <v>本科</v>
      </c>
      <c r="G21" s="15" t="str">
        <f t="shared" si="6"/>
        <v>学士</v>
      </c>
      <c r="H21" s="15" t="str">
        <f t="shared" si="7"/>
        <v>护理</v>
      </c>
      <c r="I21" s="15" t="s">
        <v>21</v>
      </c>
      <c r="J21" s="18">
        <v>68.5</v>
      </c>
      <c r="K21" s="21"/>
      <c r="L21" s="20"/>
    </row>
    <row r="22" ht="28" customHeight="1" spans="1:12">
      <c r="A22" s="14">
        <v>20</v>
      </c>
      <c r="B22" s="15" t="s">
        <v>35</v>
      </c>
      <c r="C22" s="15" t="s">
        <v>26</v>
      </c>
      <c r="D22" s="15" t="str">
        <f t="shared" si="4"/>
        <v>女</v>
      </c>
      <c r="E22" s="15" t="str">
        <f>"1998-04-05"</f>
        <v>1998-04-05</v>
      </c>
      <c r="F22" s="15" t="str">
        <f t="shared" si="5"/>
        <v>本科</v>
      </c>
      <c r="G22" s="15" t="str">
        <f t="shared" si="6"/>
        <v>学士</v>
      </c>
      <c r="H22" s="15" t="str">
        <f t="shared" si="8"/>
        <v>护理学</v>
      </c>
      <c r="I22" s="15" t="str">
        <f>"护士"</f>
        <v>护士</v>
      </c>
      <c r="J22" s="18">
        <v>68</v>
      </c>
      <c r="K22" s="21"/>
      <c r="L22" s="20"/>
    </row>
    <row r="23" ht="28" customHeight="1" spans="1:12">
      <c r="A23" s="14">
        <v>21</v>
      </c>
      <c r="B23" s="15" t="s">
        <v>36</v>
      </c>
      <c r="C23" s="15" t="s">
        <v>26</v>
      </c>
      <c r="D23" s="15" t="str">
        <f t="shared" si="4"/>
        <v>女</v>
      </c>
      <c r="E23" s="15" t="str">
        <f>"2002-05-16"</f>
        <v>2002-05-16</v>
      </c>
      <c r="F23" s="15" t="str">
        <f t="shared" si="5"/>
        <v>本科</v>
      </c>
      <c r="G23" s="15" t="str">
        <f t="shared" si="6"/>
        <v>学士</v>
      </c>
      <c r="H23" s="15" t="str">
        <f t="shared" si="8"/>
        <v>护理学</v>
      </c>
      <c r="I23" s="15" t="str">
        <f>"护士"</f>
        <v>护士</v>
      </c>
      <c r="J23" s="18">
        <v>68</v>
      </c>
      <c r="K23" s="21"/>
      <c r="L23" s="20"/>
    </row>
    <row r="24" ht="28" customHeight="1" spans="1:12">
      <c r="A24" s="14">
        <v>22</v>
      </c>
      <c r="B24" s="15" t="s">
        <v>37</v>
      </c>
      <c r="C24" s="15" t="s">
        <v>26</v>
      </c>
      <c r="D24" s="15" t="str">
        <f t="shared" si="4"/>
        <v>女</v>
      </c>
      <c r="E24" s="15" t="str">
        <f>"2000-01-05"</f>
        <v>2000-01-05</v>
      </c>
      <c r="F24" s="15" t="str">
        <f t="shared" si="5"/>
        <v>本科</v>
      </c>
      <c r="G24" s="15" t="str">
        <f t="shared" si="6"/>
        <v>学士</v>
      </c>
      <c r="H24" s="15" t="str">
        <f t="shared" ref="H24:H27" si="9">"护理"</f>
        <v>护理</v>
      </c>
      <c r="I24" s="15" t="str">
        <f>"护士"</f>
        <v>护士</v>
      </c>
      <c r="J24" s="18">
        <v>67</v>
      </c>
      <c r="K24" s="21"/>
      <c r="L24" s="20"/>
    </row>
    <row r="25" ht="28" customHeight="1" spans="1:12">
      <c r="A25" s="14">
        <v>23</v>
      </c>
      <c r="B25" s="15" t="s">
        <v>38</v>
      </c>
      <c r="C25" s="15" t="s">
        <v>26</v>
      </c>
      <c r="D25" s="15" t="str">
        <f t="shared" si="4"/>
        <v>女</v>
      </c>
      <c r="E25" s="15" t="str">
        <f>"2000-10-23"</f>
        <v>2000-10-23</v>
      </c>
      <c r="F25" s="15" t="str">
        <f t="shared" si="5"/>
        <v>本科</v>
      </c>
      <c r="G25" s="15" t="str">
        <f t="shared" si="6"/>
        <v>学士</v>
      </c>
      <c r="H25" s="15" t="str">
        <f t="shared" si="9"/>
        <v>护理</v>
      </c>
      <c r="I25" s="15" t="str">
        <f>"护士"</f>
        <v>护士</v>
      </c>
      <c r="J25" s="18">
        <v>65.5</v>
      </c>
      <c r="K25" s="21"/>
      <c r="L25" s="20"/>
    </row>
    <row r="26" ht="28" customHeight="1" spans="1:12">
      <c r="A26" s="14">
        <v>24</v>
      </c>
      <c r="B26" s="15" t="s">
        <v>39</v>
      </c>
      <c r="C26" s="15" t="s">
        <v>26</v>
      </c>
      <c r="D26" s="15" t="str">
        <f t="shared" si="4"/>
        <v>女</v>
      </c>
      <c r="E26" s="15" t="str">
        <f>"2000-11-20"</f>
        <v>2000-11-20</v>
      </c>
      <c r="F26" s="15" t="str">
        <f t="shared" si="5"/>
        <v>本科</v>
      </c>
      <c r="G26" s="15" t="str">
        <f t="shared" si="6"/>
        <v>学士</v>
      </c>
      <c r="H26" s="15" t="str">
        <f t="shared" si="9"/>
        <v>护理</v>
      </c>
      <c r="I26" s="15" t="str">
        <f>"护士"</f>
        <v>护士</v>
      </c>
      <c r="J26" s="18">
        <v>65.5</v>
      </c>
      <c r="K26" s="21"/>
      <c r="L26" s="20"/>
    </row>
    <row r="27" ht="28" customHeight="1" spans="1:12">
      <c r="A27" s="14">
        <v>25</v>
      </c>
      <c r="B27" s="15" t="s">
        <v>40</v>
      </c>
      <c r="C27" s="15" t="s">
        <v>26</v>
      </c>
      <c r="D27" s="15" t="str">
        <f t="shared" si="4"/>
        <v>女</v>
      </c>
      <c r="E27" s="15" t="str">
        <f>"1993-05-29"</f>
        <v>1993-05-29</v>
      </c>
      <c r="F27" s="15" t="str">
        <f t="shared" si="5"/>
        <v>本科</v>
      </c>
      <c r="G27" s="15" t="str">
        <f t="shared" si="6"/>
        <v>学士</v>
      </c>
      <c r="H27" s="15" t="str">
        <f t="shared" si="9"/>
        <v>护理</v>
      </c>
      <c r="I27" s="15" t="str">
        <f>"护师"</f>
        <v>护师</v>
      </c>
      <c r="J27" s="18">
        <v>65.5</v>
      </c>
      <c r="K27" s="21"/>
      <c r="L27" s="20"/>
    </row>
    <row r="28" ht="28" customHeight="1" spans="1:12">
      <c r="A28" s="14">
        <v>26</v>
      </c>
      <c r="B28" s="15" t="s">
        <v>41</v>
      </c>
      <c r="C28" s="15" t="s">
        <v>26</v>
      </c>
      <c r="D28" s="15" t="str">
        <f t="shared" si="4"/>
        <v>女</v>
      </c>
      <c r="E28" s="15" t="str">
        <f>"2001-06-02"</f>
        <v>2001-06-02</v>
      </c>
      <c r="F28" s="15" t="str">
        <f t="shared" si="5"/>
        <v>本科</v>
      </c>
      <c r="G28" s="15" t="str">
        <f t="shared" si="6"/>
        <v>学士</v>
      </c>
      <c r="H28" s="15" t="str">
        <f t="shared" ref="H28:H31" si="10">"护理学"</f>
        <v>护理学</v>
      </c>
      <c r="I28" s="15" t="s">
        <v>21</v>
      </c>
      <c r="J28" s="18">
        <v>65</v>
      </c>
      <c r="K28" s="21"/>
      <c r="L28" s="20"/>
    </row>
    <row r="29" ht="28" customHeight="1" spans="1:12">
      <c r="A29" s="14">
        <v>27</v>
      </c>
      <c r="B29" s="15" t="s">
        <v>42</v>
      </c>
      <c r="C29" s="15" t="s">
        <v>26</v>
      </c>
      <c r="D29" s="15" t="str">
        <f t="shared" si="4"/>
        <v>女</v>
      </c>
      <c r="E29" s="15" t="str">
        <f>"1999-09-06"</f>
        <v>1999-09-06</v>
      </c>
      <c r="F29" s="15" t="str">
        <f t="shared" si="5"/>
        <v>本科</v>
      </c>
      <c r="G29" s="15" t="str">
        <f t="shared" si="6"/>
        <v>学士</v>
      </c>
      <c r="H29" s="15" t="str">
        <f t="shared" ref="H29:H34" si="11">"护理"</f>
        <v>护理</v>
      </c>
      <c r="I29" s="15" t="s">
        <v>21</v>
      </c>
      <c r="J29" s="18">
        <v>65</v>
      </c>
      <c r="K29" s="21"/>
      <c r="L29" s="20"/>
    </row>
    <row r="30" ht="28" customHeight="1" spans="1:12">
      <c r="A30" s="14">
        <v>28</v>
      </c>
      <c r="B30" s="15" t="s">
        <v>43</v>
      </c>
      <c r="C30" s="15" t="s">
        <v>26</v>
      </c>
      <c r="D30" s="15" t="str">
        <f t="shared" si="4"/>
        <v>女</v>
      </c>
      <c r="E30" s="15" t="str">
        <f>"2001-08-10"</f>
        <v>2001-08-10</v>
      </c>
      <c r="F30" s="15" t="str">
        <f t="shared" si="5"/>
        <v>本科</v>
      </c>
      <c r="G30" s="15" t="str">
        <f t="shared" si="6"/>
        <v>学士</v>
      </c>
      <c r="H30" s="15" t="str">
        <f t="shared" si="10"/>
        <v>护理学</v>
      </c>
      <c r="I30" s="15" t="s">
        <v>21</v>
      </c>
      <c r="J30" s="18">
        <v>64.5</v>
      </c>
      <c r="K30" s="21"/>
      <c r="L30" s="20"/>
    </row>
    <row r="31" ht="28" customHeight="1" spans="1:12">
      <c r="A31" s="14">
        <v>29</v>
      </c>
      <c r="B31" s="15" t="s">
        <v>44</v>
      </c>
      <c r="C31" s="15" t="s">
        <v>26</v>
      </c>
      <c r="D31" s="15" t="str">
        <f>"男"</f>
        <v>男</v>
      </c>
      <c r="E31" s="15" t="str">
        <f>"2000-10-11"</f>
        <v>2000-10-11</v>
      </c>
      <c r="F31" s="15" t="str">
        <f t="shared" si="5"/>
        <v>本科</v>
      </c>
      <c r="G31" s="15" t="str">
        <f t="shared" si="6"/>
        <v>学士</v>
      </c>
      <c r="H31" s="15" t="str">
        <f t="shared" si="10"/>
        <v>护理学</v>
      </c>
      <c r="I31" s="15" t="s">
        <v>21</v>
      </c>
      <c r="J31" s="18">
        <v>64.5</v>
      </c>
      <c r="K31" s="21"/>
      <c r="L31" s="20"/>
    </row>
    <row r="32" ht="28" customHeight="1" spans="1:12">
      <c r="A32" s="14">
        <v>30</v>
      </c>
      <c r="B32" s="15" t="s">
        <v>45</v>
      </c>
      <c r="C32" s="15" t="s">
        <v>26</v>
      </c>
      <c r="D32" s="15" t="str">
        <f t="shared" ref="D32:D38" si="12">"女"</f>
        <v>女</v>
      </c>
      <c r="E32" s="15" t="str">
        <f>"2001-07-17"</f>
        <v>2001-07-17</v>
      </c>
      <c r="F32" s="15" t="str">
        <f t="shared" si="5"/>
        <v>本科</v>
      </c>
      <c r="G32" s="15" t="str">
        <f t="shared" si="6"/>
        <v>学士</v>
      </c>
      <c r="H32" s="15" t="str">
        <f t="shared" si="11"/>
        <v>护理</v>
      </c>
      <c r="I32" s="15" t="s">
        <v>21</v>
      </c>
      <c r="J32" s="18">
        <v>63.5</v>
      </c>
      <c r="K32" s="21"/>
      <c r="L32" s="20"/>
    </row>
    <row r="33" ht="28" customHeight="1" spans="1:12">
      <c r="A33" s="14">
        <v>31</v>
      </c>
      <c r="B33" s="15" t="s">
        <v>46</v>
      </c>
      <c r="C33" s="15" t="s">
        <v>26</v>
      </c>
      <c r="D33" s="15" t="str">
        <f t="shared" si="12"/>
        <v>女</v>
      </c>
      <c r="E33" s="15" t="str">
        <f>"2001-06-25"</f>
        <v>2001-06-25</v>
      </c>
      <c r="F33" s="15" t="str">
        <f t="shared" si="5"/>
        <v>本科</v>
      </c>
      <c r="G33" s="15" t="str">
        <f t="shared" si="6"/>
        <v>学士</v>
      </c>
      <c r="H33" s="15" t="str">
        <f>"护理学"</f>
        <v>护理学</v>
      </c>
      <c r="I33" s="15" t="s">
        <v>21</v>
      </c>
      <c r="J33" s="18">
        <v>63.5</v>
      </c>
      <c r="K33" s="21"/>
      <c r="L33" s="20"/>
    </row>
    <row r="34" ht="28" customHeight="1" spans="1:12">
      <c r="A34" s="14">
        <v>32</v>
      </c>
      <c r="B34" s="15" t="s">
        <v>47</v>
      </c>
      <c r="C34" s="15" t="s">
        <v>26</v>
      </c>
      <c r="D34" s="15" t="str">
        <f t="shared" si="12"/>
        <v>女</v>
      </c>
      <c r="E34" s="15" t="str">
        <f>"2000-01-25"</f>
        <v>2000-01-25</v>
      </c>
      <c r="F34" s="15" t="str">
        <f t="shared" si="5"/>
        <v>本科</v>
      </c>
      <c r="G34" s="15" t="str">
        <f t="shared" si="6"/>
        <v>学士</v>
      </c>
      <c r="H34" s="15" t="str">
        <f t="shared" si="11"/>
        <v>护理</v>
      </c>
      <c r="I34" s="15" t="s">
        <v>21</v>
      </c>
      <c r="J34" s="18">
        <v>63</v>
      </c>
      <c r="K34" s="21"/>
      <c r="L34" s="20"/>
    </row>
    <row r="35" ht="28" customHeight="1" spans="1:12">
      <c r="A35" s="14">
        <v>33</v>
      </c>
      <c r="B35" s="15" t="s">
        <v>48</v>
      </c>
      <c r="C35" s="15" t="s">
        <v>26</v>
      </c>
      <c r="D35" s="15" t="str">
        <f t="shared" si="12"/>
        <v>女</v>
      </c>
      <c r="E35" s="15" t="str">
        <f>"1997-10-02"</f>
        <v>1997-10-02</v>
      </c>
      <c r="F35" s="15" t="str">
        <f t="shared" si="5"/>
        <v>本科</v>
      </c>
      <c r="G35" s="15" t="str">
        <f t="shared" si="6"/>
        <v>学士</v>
      </c>
      <c r="H35" s="15" t="str">
        <f>"护理学"</f>
        <v>护理学</v>
      </c>
      <c r="I35" s="15" t="str">
        <f>"护师"</f>
        <v>护师</v>
      </c>
      <c r="J35" s="18">
        <v>63</v>
      </c>
      <c r="K35" s="21"/>
      <c r="L35" s="20"/>
    </row>
    <row r="36" ht="28" customHeight="1" spans="1:12">
      <c r="A36" s="14">
        <v>34</v>
      </c>
      <c r="B36" s="15" t="s">
        <v>49</v>
      </c>
      <c r="C36" s="15" t="s">
        <v>26</v>
      </c>
      <c r="D36" s="15" t="str">
        <f t="shared" si="12"/>
        <v>女</v>
      </c>
      <c r="E36" s="15" t="str">
        <f>"2001-10-05"</f>
        <v>2001-10-05</v>
      </c>
      <c r="F36" s="15" t="str">
        <f t="shared" si="5"/>
        <v>本科</v>
      </c>
      <c r="G36" s="15" t="str">
        <f t="shared" si="6"/>
        <v>学士</v>
      </c>
      <c r="H36" s="15" t="str">
        <f t="shared" ref="H36:H43" si="13">"护理"</f>
        <v>护理</v>
      </c>
      <c r="I36" s="15" t="s">
        <v>21</v>
      </c>
      <c r="J36" s="18">
        <v>63</v>
      </c>
      <c r="K36" s="21"/>
      <c r="L36" s="20"/>
    </row>
    <row r="37" ht="28" customHeight="1" spans="1:12">
      <c r="A37" s="14">
        <v>35</v>
      </c>
      <c r="B37" s="15" t="s">
        <v>50</v>
      </c>
      <c r="C37" s="15" t="s">
        <v>26</v>
      </c>
      <c r="D37" s="15" t="str">
        <f t="shared" si="12"/>
        <v>女</v>
      </c>
      <c r="E37" s="15" t="str">
        <f>"1999-10-26"</f>
        <v>1999-10-26</v>
      </c>
      <c r="F37" s="15" t="str">
        <f t="shared" si="5"/>
        <v>本科</v>
      </c>
      <c r="G37" s="15" t="str">
        <f t="shared" si="6"/>
        <v>学士</v>
      </c>
      <c r="H37" s="15" t="str">
        <f t="shared" si="13"/>
        <v>护理</v>
      </c>
      <c r="I37" s="15" t="s">
        <v>21</v>
      </c>
      <c r="J37" s="18">
        <v>62.5</v>
      </c>
      <c r="K37" s="21"/>
      <c r="L37" s="20"/>
    </row>
    <row r="38" ht="28" customHeight="1" spans="1:12">
      <c r="A38" s="14">
        <v>36</v>
      </c>
      <c r="B38" s="15" t="s">
        <v>51</v>
      </c>
      <c r="C38" s="15" t="s">
        <v>26</v>
      </c>
      <c r="D38" s="15" t="str">
        <f t="shared" si="12"/>
        <v>女</v>
      </c>
      <c r="E38" s="15" t="str">
        <f>"2001-06-13"</f>
        <v>2001-06-13</v>
      </c>
      <c r="F38" s="15" t="str">
        <f t="shared" si="5"/>
        <v>本科</v>
      </c>
      <c r="G38" s="15" t="str">
        <f t="shared" si="6"/>
        <v>学士</v>
      </c>
      <c r="H38" s="15" t="str">
        <f t="shared" si="13"/>
        <v>护理</v>
      </c>
      <c r="I38" s="15" t="s">
        <v>21</v>
      </c>
      <c r="J38" s="18">
        <v>62.5</v>
      </c>
      <c r="K38" s="21"/>
      <c r="L38" s="20"/>
    </row>
    <row r="39" ht="28" customHeight="1" spans="1:12">
      <c r="A39" s="14">
        <v>37</v>
      </c>
      <c r="B39" s="15" t="s">
        <v>52</v>
      </c>
      <c r="C39" s="15" t="s">
        <v>26</v>
      </c>
      <c r="D39" s="15" t="str">
        <f>"男"</f>
        <v>男</v>
      </c>
      <c r="E39" s="15" t="str">
        <f>"2001-03-23"</f>
        <v>2001-03-23</v>
      </c>
      <c r="F39" s="15" t="str">
        <f t="shared" si="5"/>
        <v>本科</v>
      </c>
      <c r="G39" s="15" t="str">
        <f t="shared" si="6"/>
        <v>学士</v>
      </c>
      <c r="H39" s="15" t="str">
        <f t="shared" si="13"/>
        <v>护理</v>
      </c>
      <c r="I39" s="15" t="s">
        <v>21</v>
      </c>
      <c r="J39" s="18">
        <v>62</v>
      </c>
      <c r="K39" s="21"/>
      <c r="L39" s="20"/>
    </row>
    <row r="40" ht="28" customHeight="1" spans="1:12">
      <c r="A40" s="14">
        <v>38</v>
      </c>
      <c r="B40" s="15" t="s">
        <v>53</v>
      </c>
      <c r="C40" s="15" t="s">
        <v>26</v>
      </c>
      <c r="D40" s="15" t="str">
        <f t="shared" ref="D40:D49" si="14">"女"</f>
        <v>女</v>
      </c>
      <c r="E40" s="15" t="str">
        <f>"1996-02-15"</f>
        <v>1996-02-15</v>
      </c>
      <c r="F40" s="15" t="str">
        <f t="shared" si="5"/>
        <v>本科</v>
      </c>
      <c r="G40" s="15" t="str">
        <f t="shared" si="6"/>
        <v>学士</v>
      </c>
      <c r="H40" s="15" t="str">
        <f t="shared" si="13"/>
        <v>护理</v>
      </c>
      <c r="I40" s="15" t="s">
        <v>21</v>
      </c>
      <c r="J40" s="18">
        <v>61.5</v>
      </c>
      <c r="K40" s="21"/>
      <c r="L40" s="20"/>
    </row>
    <row r="41" ht="28" customHeight="1" spans="1:12">
      <c r="A41" s="14">
        <v>39</v>
      </c>
      <c r="B41" s="15" t="s">
        <v>54</v>
      </c>
      <c r="C41" s="15" t="s">
        <v>26</v>
      </c>
      <c r="D41" s="15" t="str">
        <f t="shared" si="14"/>
        <v>女</v>
      </c>
      <c r="E41" s="15" t="str">
        <f>"2001-03-09"</f>
        <v>2001-03-09</v>
      </c>
      <c r="F41" s="15" t="str">
        <f t="shared" si="5"/>
        <v>本科</v>
      </c>
      <c r="G41" s="15" t="str">
        <f t="shared" si="6"/>
        <v>学士</v>
      </c>
      <c r="H41" s="15" t="str">
        <f t="shared" si="13"/>
        <v>护理</v>
      </c>
      <c r="I41" s="15" t="s">
        <v>21</v>
      </c>
      <c r="J41" s="18">
        <v>61.5</v>
      </c>
      <c r="K41" s="21"/>
      <c r="L41" s="20"/>
    </row>
    <row r="42" s="10" customFormat="1" ht="28" customHeight="1" spans="1:12">
      <c r="A42" s="14">
        <v>40</v>
      </c>
      <c r="B42" s="15" t="s">
        <v>55</v>
      </c>
      <c r="C42" s="15" t="s">
        <v>26</v>
      </c>
      <c r="D42" s="15" t="str">
        <f t="shared" si="14"/>
        <v>女</v>
      </c>
      <c r="E42" s="15" t="str">
        <f>"2001-01-08"</f>
        <v>2001-01-08</v>
      </c>
      <c r="F42" s="15" t="str">
        <f t="shared" si="5"/>
        <v>本科</v>
      </c>
      <c r="G42" s="15" t="str">
        <f t="shared" si="6"/>
        <v>学士</v>
      </c>
      <c r="H42" s="15" t="str">
        <f t="shared" si="13"/>
        <v>护理</v>
      </c>
      <c r="I42" s="15" t="s">
        <v>21</v>
      </c>
      <c r="J42" s="18">
        <v>61</v>
      </c>
      <c r="K42" s="21"/>
      <c r="L42" s="15" t="s">
        <v>56</v>
      </c>
    </row>
    <row r="43" s="10" customFormat="1" ht="28" customHeight="1" spans="1:12">
      <c r="A43" s="14">
        <v>41</v>
      </c>
      <c r="B43" s="15" t="s">
        <v>57</v>
      </c>
      <c r="C43" s="15" t="s">
        <v>26</v>
      </c>
      <c r="D43" s="15" t="str">
        <f t="shared" si="14"/>
        <v>女</v>
      </c>
      <c r="E43" s="15" t="str">
        <f>"2002-03-15"</f>
        <v>2002-03-15</v>
      </c>
      <c r="F43" s="15" t="str">
        <f t="shared" si="5"/>
        <v>本科</v>
      </c>
      <c r="G43" s="15" t="str">
        <f t="shared" si="6"/>
        <v>学士</v>
      </c>
      <c r="H43" s="15" t="str">
        <f t="shared" si="13"/>
        <v>护理</v>
      </c>
      <c r="I43" s="15" t="s">
        <v>21</v>
      </c>
      <c r="J43" s="18">
        <v>61</v>
      </c>
      <c r="K43" s="21"/>
      <c r="L43" s="15" t="s">
        <v>56</v>
      </c>
    </row>
    <row r="44" s="10" customFormat="1" ht="28" customHeight="1" spans="1:12">
      <c r="A44" s="14">
        <v>42</v>
      </c>
      <c r="B44" s="15" t="s">
        <v>58</v>
      </c>
      <c r="C44" s="15" t="s">
        <v>26</v>
      </c>
      <c r="D44" s="15" t="str">
        <f t="shared" si="14"/>
        <v>女</v>
      </c>
      <c r="E44" s="15" t="str">
        <f>"2002-05-09"</f>
        <v>2002-05-09</v>
      </c>
      <c r="F44" s="15" t="str">
        <f t="shared" si="5"/>
        <v>本科</v>
      </c>
      <c r="G44" s="15" t="str">
        <f t="shared" si="6"/>
        <v>学士</v>
      </c>
      <c r="H44" s="15" t="str">
        <f>"护理学"</f>
        <v>护理学</v>
      </c>
      <c r="I44" s="15"/>
      <c r="J44" s="18">
        <v>74</v>
      </c>
      <c r="K44" s="22"/>
      <c r="L44" s="15" t="s">
        <v>59</v>
      </c>
    </row>
    <row r="45" s="10" customFormat="1" ht="28" customHeight="1" spans="1:12">
      <c r="A45" s="14">
        <v>43</v>
      </c>
      <c r="B45" s="15" t="str">
        <f>"黄婉洁"</f>
        <v>黄婉洁</v>
      </c>
      <c r="C45" s="16" t="s">
        <v>60</v>
      </c>
      <c r="D45" s="15" t="str">
        <f t="shared" si="14"/>
        <v>女</v>
      </c>
      <c r="E45" s="15" t="str">
        <f>"2002-02-07"</f>
        <v>2002-02-07</v>
      </c>
      <c r="F45" s="15" t="str">
        <f t="shared" si="5"/>
        <v>本科</v>
      </c>
      <c r="G45" s="15" t="str">
        <f t="shared" si="6"/>
        <v>学士</v>
      </c>
      <c r="H45" s="15" t="str">
        <f t="shared" ref="H45:H48" si="15">"康复治疗学"</f>
        <v>康复治疗学</v>
      </c>
      <c r="I45" s="15"/>
      <c r="J45" s="18">
        <v>68.5</v>
      </c>
      <c r="K45" s="19">
        <v>57</v>
      </c>
      <c r="L45" s="15"/>
    </row>
    <row r="46" s="10" customFormat="1" ht="28" customHeight="1" spans="1:12">
      <c r="A46" s="14">
        <v>44</v>
      </c>
      <c r="B46" s="15" t="str">
        <f>"甘芃蓉"</f>
        <v>甘芃蓉</v>
      </c>
      <c r="C46" s="16" t="s">
        <v>60</v>
      </c>
      <c r="D46" s="15" t="str">
        <f t="shared" si="14"/>
        <v>女</v>
      </c>
      <c r="E46" s="15" t="str">
        <f>"2001-05-08"</f>
        <v>2001-05-08</v>
      </c>
      <c r="F46" s="15" t="str">
        <f t="shared" si="5"/>
        <v>本科</v>
      </c>
      <c r="G46" s="15" t="str">
        <f t="shared" si="6"/>
        <v>学士</v>
      </c>
      <c r="H46" s="15" t="str">
        <f t="shared" si="15"/>
        <v>康复治疗学</v>
      </c>
      <c r="I46" s="15"/>
      <c r="J46" s="18">
        <v>60</v>
      </c>
      <c r="K46" s="21"/>
      <c r="L46" s="15"/>
    </row>
    <row r="47" s="10" customFormat="1" ht="28" customHeight="1" spans="1:12">
      <c r="A47" s="14">
        <v>45</v>
      </c>
      <c r="B47" s="15" t="str">
        <f>"羊二春"</f>
        <v>羊二春</v>
      </c>
      <c r="C47" s="16" t="s">
        <v>60</v>
      </c>
      <c r="D47" s="15" t="str">
        <f t="shared" si="14"/>
        <v>女</v>
      </c>
      <c r="E47" s="15" t="str">
        <f>"1999-11-14"</f>
        <v>1999-11-14</v>
      </c>
      <c r="F47" s="15" t="str">
        <f t="shared" si="5"/>
        <v>本科</v>
      </c>
      <c r="G47" s="15" t="str">
        <f t="shared" si="6"/>
        <v>学士</v>
      </c>
      <c r="H47" s="15" t="str">
        <f t="shared" si="15"/>
        <v>康复治疗学</v>
      </c>
      <c r="I47" s="7"/>
      <c r="J47" s="18">
        <v>58</v>
      </c>
      <c r="K47" s="21"/>
      <c r="L47" s="15" t="s">
        <v>56</v>
      </c>
    </row>
    <row r="48" s="10" customFormat="1" ht="28" customHeight="1" spans="1:12">
      <c r="A48" s="14">
        <v>46</v>
      </c>
      <c r="B48" s="15" t="str">
        <f>"羊淑娉"</f>
        <v>羊淑娉</v>
      </c>
      <c r="C48" s="16" t="s">
        <v>60</v>
      </c>
      <c r="D48" s="15" t="str">
        <f t="shared" si="14"/>
        <v>女</v>
      </c>
      <c r="E48" s="15" t="str">
        <f>"2002-03-05"</f>
        <v>2002-03-05</v>
      </c>
      <c r="F48" s="15" t="str">
        <f t="shared" si="5"/>
        <v>本科</v>
      </c>
      <c r="G48" s="15" t="str">
        <f t="shared" si="6"/>
        <v>学士</v>
      </c>
      <c r="H48" s="15" t="str">
        <f t="shared" si="15"/>
        <v>康复治疗学</v>
      </c>
      <c r="I48" s="15"/>
      <c r="J48" s="18">
        <v>63.5</v>
      </c>
      <c r="K48" s="21"/>
      <c r="L48" s="15" t="s">
        <v>59</v>
      </c>
    </row>
    <row r="49" ht="28" customHeight="1" spans="1:12">
      <c r="A49" s="14">
        <v>47</v>
      </c>
      <c r="B49" s="15" t="s">
        <v>61</v>
      </c>
      <c r="C49" s="16" t="s">
        <v>62</v>
      </c>
      <c r="D49" s="15" t="str">
        <f>"男"</f>
        <v>男</v>
      </c>
      <c r="E49" s="15" t="str">
        <f>"1995-03-13"</f>
        <v>1995-03-13</v>
      </c>
      <c r="F49" s="15" t="str">
        <f t="shared" si="5"/>
        <v>本科</v>
      </c>
      <c r="G49" s="15" t="str">
        <f t="shared" si="6"/>
        <v>学士</v>
      </c>
      <c r="H49" s="15" t="str">
        <f t="shared" ref="H49:H54" si="16">"康复治疗学"</f>
        <v>康复治疗学</v>
      </c>
      <c r="I49" s="15"/>
      <c r="J49" s="18">
        <v>52.5</v>
      </c>
      <c r="K49" s="18">
        <v>50</v>
      </c>
      <c r="L49" s="15"/>
    </row>
    <row r="50" ht="28" customHeight="1" spans="1:12">
      <c r="A50" s="14">
        <v>48</v>
      </c>
      <c r="B50" s="15" t="str">
        <f>"黎丽梅"</f>
        <v>黎丽梅</v>
      </c>
      <c r="C50" s="16" t="s">
        <v>63</v>
      </c>
      <c r="D50" s="15" t="str">
        <f t="shared" ref="D50:D57" si="17">"女"</f>
        <v>女</v>
      </c>
      <c r="E50" s="15" t="str">
        <f>"1997-07-15"</f>
        <v>1997-07-15</v>
      </c>
      <c r="F50" s="15" t="str">
        <f t="shared" si="5"/>
        <v>本科</v>
      </c>
      <c r="G50" s="15" t="str">
        <f t="shared" si="6"/>
        <v>学士</v>
      </c>
      <c r="H50" s="15" t="str">
        <f t="shared" si="16"/>
        <v>康复治疗学</v>
      </c>
      <c r="I50" s="15" t="str">
        <f t="shared" ref="I50:I54" si="18">"康复医学治疗技师"</f>
        <v>康复医学治疗技师</v>
      </c>
      <c r="J50" s="18">
        <v>74</v>
      </c>
      <c r="K50" s="19">
        <v>67</v>
      </c>
      <c r="L50" s="20"/>
    </row>
    <row r="51" ht="28" customHeight="1" spans="1:12">
      <c r="A51" s="14">
        <v>49</v>
      </c>
      <c r="B51" s="15" t="str">
        <f>"林淑丽"</f>
        <v>林淑丽</v>
      </c>
      <c r="C51" s="16" t="s">
        <v>63</v>
      </c>
      <c r="D51" s="15" t="str">
        <f t="shared" si="17"/>
        <v>女</v>
      </c>
      <c r="E51" s="15" t="str">
        <f>"1998-04-21"</f>
        <v>1998-04-21</v>
      </c>
      <c r="F51" s="15" t="str">
        <f t="shared" si="5"/>
        <v>本科</v>
      </c>
      <c r="G51" s="15" t="str">
        <f t="shared" si="6"/>
        <v>学士</v>
      </c>
      <c r="H51" s="15" t="str">
        <f t="shared" si="16"/>
        <v>康复治疗学</v>
      </c>
      <c r="I51" s="15" t="str">
        <f t="shared" si="18"/>
        <v>康复医学治疗技师</v>
      </c>
      <c r="J51" s="18">
        <v>71.5</v>
      </c>
      <c r="K51" s="21"/>
      <c r="L51" s="20"/>
    </row>
    <row r="52" ht="28" customHeight="1" spans="1:12">
      <c r="A52" s="14">
        <v>50</v>
      </c>
      <c r="B52" s="15" t="str">
        <f>"陈海亮"</f>
        <v>陈海亮</v>
      </c>
      <c r="C52" s="16" t="s">
        <v>63</v>
      </c>
      <c r="D52" s="15" t="str">
        <f>"男"</f>
        <v>男</v>
      </c>
      <c r="E52" s="15" t="str">
        <f>"1998-12-25"</f>
        <v>1998-12-25</v>
      </c>
      <c r="F52" s="15" t="str">
        <f t="shared" si="5"/>
        <v>本科</v>
      </c>
      <c r="G52" s="15" t="str">
        <f t="shared" si="6"/>
        <v>学士</v>
      </c>
      <c r="H52" s="15" t="str">
        <f t="shared" si="16"/>
        <v>康复治疗学</v>
      </c>
      <c r="I52" s="15" t="str">
        <f t="shared" si="18"/>
        <v>康复医学治疗技师</v>
      </c>
      <c r="J52" s="18">
        <v>68</v>
      </c>
      <c r="K52" s="21"/>
      <c r="L52" s="20"/>
    </row>
    <row r="53" ht="28" customHeight="1" spans="1:12">
      <c r="A53" s="14">
        <v>51</v>
      </c>
      <c r="B53" s="15" t="str">
        <f>"叶桥娜"</f>
        <v>叶桥娜</v>
      </c>
      <c r="C53" s="16" t="s">
        <v>63</v>
      </c>
      <c r="D53" s="15" t="str">
        <f t="shared" si="17"/>
        <v>女</v>
      </c>
      <c r="E53" s="15" t="str">
        <f>"1998-11-12"</f>
        <v>1998-11-12</v>
      </c>
      <c r="F53" s="15" t="str">
        <f t="shared" si="5"/>
        <v>本科</v>
      </c>
      <c r="G53" s="15" t="str">
        <f t="shared" si="6"/>
        <v>学士</v>
      </c>
      <c r="H53" s="15" t="str">
        <f t="shared" si="16"/>
        <v>康复治疗学</v>
      </c>
      <c r="I53" s="15" t="str">
        <f t="shared" si="18"/>
        <v>康复医学治疗技师</v>
      </c>
      <c r="J53" s="18">
        <v>67.5</v>
      </c>
      <c r="K53" s="21"/>
      <c r="L53" s="20"/>
    </row>
    <row r="54" ht="28" customHeight="1" spans="1:12">
      <c r="A54" s="14">
        <v>52</v>
      </c>
      <c r="B54" s="15" t="str">
        <f>"陈玉嫦"</f>
        <v>陈玉嫦</v>
      </c>
      <c r="C54" s="16" t="s">
        <v>63</v>
      </c>
      <c r="D54" s="15" t="str">
        <f t="shared" si="17"/>
        <v>女</v>
      </c>
      <c r="E54" s="15" t="str">
        <f>"1998-05-20"</f>
        <v>1998-05-20</v>
      </c>
      <c r="F54" s="15" t="str">
        <f t="shared" si="5"/>
        <v>本科</v>
      </c>
      <c r="G54" s="15" t="str">
        <f t="shared" si="6"/>
        <v>学士</v>
      </c>
      <c r="H54" s="15" t="str">
        <f t="shared" si="16"/>
        <v>康复治疗学</v>
      </c>
      <c r="I54" s="15" t="str">
        <f t="shared" si="18"/>
        <v>康复医学治疗技师</v>
      </c>
      <c r="J54" s="18">
        <v>67</v>
      </c>
      <c r="K54" s="22"/>
      <c r="L54" s="20"/>
    </row>
    <row r="55" ht="28" customHeight="1" spans="1:12">
      <c r="A55" s="14">
        <v>53</v>
      </c>
      <c r="B55" s="15" t="s">
        <v>64</v>
      </c>
      <c r="C55" s="16" t="s">
        <v>65</v>
      </c>
      <c r="D55" s="15" t="str">
        <f t="shared" si="17"/>
        <v>女</v>
      </c>
      <c r="E55" s="15" t="str">
        <f>"1999-01-07"</f>
        <v>1999-01-07</v>
      </c>
      <c r="F55" s="15" t="str">
        <f t="shared" si="5"/>
        <v>本科</v>
      </c>
      <c r="G55" s="15" t="str">
        <f t="shared" si="6"/>
        <v>学士</v>
      </c>
      <c r="H55" s="15" t="str">
        <f>"新闻学"</f>
        <v>新闻学</v>
      </c>
      <c r="I55" s="15"/>
      <c r="J55" s="18">
        <v>59.5</v>
      </c>
      <c r="K55" s="19">
        <v>57</v>
      </c>
      <c r="L55" s="20"/>
    </row>
    <row r="56" ht="28" customHeight="1" spans="1:12">
      <c r="A56" s="14">
        <v>54</v>
      </c>
      <c r="B56" s="15" t="s">
        <v>66</v>
      </c>
      <c r="C56" s="16" t="s">
        <v>65</v>
      </c>
      <c r="D56" s="15" t="str">
        <f t="shared" si="17"/>
        <v>女</v>
      </c>
      <c r="E56" s="15" t="str">
        <f>"1998-09-04"</f>
        <v>1998-09-04</v>
      </c>
      <c r="F56" s="15" t="str">
        <f t="shared" si="5"/>
        <v>本科</v>
      </c>
      <c r="G56" s="15" t="str">
        <f t="shared" si="6"/>
        <v>学士</v>
      </c>
      <c r="H56" s="15" t="str">
        <f>"汉语言文学"</f>
        <v>汉语言文学</v>
      </c>
      <c r="I56" s="15"/>
      <c r="J56" s="18">
        <v>58.5</v>
      </c>
      <c r="K56" s="22"/>
      <c r="L56" s="20"/>
    </row>
    <row r="57" ht="28" customHeight="1" spans="1:12">
      <c r="A57" s="14">
        <v>55</v>
      </c>
      <c r="B57" s="15" t="s">
        <v>67</v>
      </c>
      <c r="C57" s="16" t="s">
        <v>68</v>
      </c>
      <c r="D57" s="15" t="str">
        <f t="shared" si="17"/>
        <v>女</v>
      </c>
      <c r="E57" s="15" t="str">
        <f>"1994-11-12"</f>
        <v>1994-11-12</v>
      </c>
      <c r="F57" s="15" t="str">
        <f t="shared" si="5"/>
        <v>本科</v>
      </c>
      <c r="G57" s="15" t="str">
        <f t="shared" si="6"/>
        <v>学士</v>
      </c>
      <c r="H57" s="15" t="str">
        <f>"眼视光学"</f>
        <v>眼视光学</v>
      </c>
      <c r="I57" s="15" t="str">
        <f>"眼视光技术师"</f>
        <v>眼视光技术师</v>
      </c>
      <c r="J57" s="18">
        <v>54</v>
      </c>
      <c r="K57" s="18">
        <v>54</v>
      </c>
      <c r="L57" s="20"/>
    </row>
    <row r="58" ht="28" customHeight="1" spans="1:12">
      <c r="A58" s="14">
        <v>56</v>
      </c>
      <c r="B58" s="15" t="str">
        <f>"吴丰"</f>
        <v>吴丰</v>
      </c>
      <c r="C58" s="16" t="s">
        <v>69</v>
      </c>
      <c r="D58" s="15" t="str">
        <f t="shared" ref="D58:D63" si="19">"男"</f>
        <v>男</v>
      </c>
      <c r="E58" s="15" t="str">
        <f>"1994-06-03"</f>
        <v>1994-06-03</v>
      </c>
      <c r="F58" s="15" t="str">
        <f t="shared" si="5"/>
        <v>本科</v>
      </c>
      <c r="G58" s="15" t="str">
        <f t="shared" si="6"/>
        <v>学士</v>
      </c>
      <c r="H58" s="15" t="str">
        <f>"临床医学"</f>
        <v>临床医学</v>
      </c>
      <c r="I58" s="15" t="str">
        <f t="shared" ref="I58:I63" si="20">"医师"</f>
        <v>医师</v>
      </c>
      <c r="J58" s="18">
        <v>66</v>
      </c>
      <c r="K58" s="19">
        <v>60</v>
      </c>
      <c r="L58" s="20"/>
    </row>
    <row r="59" ht="28" customHeight="1" spans="1:12">
      <c r="A59" s="14">
        <v>57</v>
      </c>
      <c r="B59" s="15" t="str">
        <f>"刘慧月"</f>
        <v>刘慧月</v>
      </c>
      <c r="C59" s="16" t="s">
        <v>69</v>
      </c>
      <c r="D59" s="15" t="str">
        <f t="shared" ref="D59:D62" si="21">"女"</f>
        <v>女</v>
      </c>
      <c r="E59" s="15" t="str">
        <f>"1997-03-29"</f>
        <v>1997-03-29</v>
      </c>
      <c r="F59" s="15" t="str">
        <f t="shared" ref="F59:F63" si="22">"研究生"</f>
        <v>研究生</v>
      </c>
      <c r="G59" s="15" t="str">
        <f t="shared" ref="G59:G63" si="23">"硕士"</f>
        <v>硕士</v>
      </c>
      <c r="H59" s="15" t="str">
        <f>"儿科学"</f>
        <v>儿科学</v>
      </c>
      <c r="I59" s="15" t="str">
        <f t="shared" si="20"/>
        <v>医师</v>
      </c>
      <c r="J59" s="18">
        <v>63</v>
      </c>
      <c r="K59" s="21"/>
      <c r="L59" s="20"/>
    </row>
    <row r="60" ht="28" customHeight="1" spans="1:12">
      <c r="A60" s="14">
        <v>58</v>
      </c>
      <c r="B60" s="15" t="str">
        <f>"翁敦岱"</f>
        <v>翁敦岱</v>
      </c>
      <c r="C60" s="15" t="s">
        <v>69</v>
      </c>
      <c r="D60" s="15" t="str">
        <f t="shared" si="21"/>
        <v>女</v>
      </c>
      <c r="E60" s="15" t="str">
        <f>"1996-03-09"</f>
        <v>1996-03-09</v>
      </c>
      <c r="F60" s="15" t="str">
        <f>"本科"</f>
        <v>本科</v>
      </c>
      <c r="G60" s="15" t="str">
        <f>"学士"</f>
        <v>学士</v>
      </c>
      <c r="H60" s="15" t="str">
        <f>"临床医学"</f>
        <v>临床医学</v>
      </c>
      <c r="I60" s="15" t="str">
        <f t="shared" si="20"/>
        <v>医师</v>
      </c>
      <c r="J60" s="18">
        <v>62.5</v>
      </c>
      <c r="K60" s="22"/>
      <c r="L60" s="20"/>
    </row>
    <row r="61" ht="28" customHeight="1" spans="1:12">
      <c r="A61" s="14">
        <v>59</v>
      </c>
      <c r="B61" s="15" t="s">
        <v>70</v>
      </c>
      <c r="C61" s="15" t="s">
        <v>71</v>
      </c>
      <c r="D61" s="15" t="str">
        <f t="shared" si="19"/>
        <v>男</v>
      </c>
      <c r="E61" s="15" t="str">
        <f>"1997-11-03"</f>
        <v>1997-11-03</v>
      </c>
      <c r="F61" s="15" t="str">
        <f t="shared" si="22"/>
        <v>研究生</v>
      </c>
      <c r="G61" s="15" t="str">
        <f t="shared" si="23"/>
        <v>硕士</v>
      </c>
      <c r="H61" s="15" t="str">
        <f>"中医儿科学"</f>
        <v>中医儿科学</v>
      </c>
      <c r="I61" s="15" t="str">
        <f t="shared" si="20"/>
        <v>医师</v>
      </c>
      <c r="J61" s="18">
        <v>66</v>
      </c>
      <c r="K61" s="18">
        <v>66</v>
      </c>
      <c r="L61" s="20"/>
    </row>
    <row r="62" ht="28" customHeight="1" spans="1:12">
      <c r="A62" s="14">
        <v>60</v>
      </c>
      <c r="B62" s="15" t="s">
        <v>72</v>
      </c>
      <c r="C62" s="15" t="s">
        <v>73</v>
      </c>
      <c r="D62" s="15" t="str">
        <f t="shared" si="21"/>
        <v>女</v>
      </c>
      <c r="E62" s="15" t="str">
        <f>"1996-08-28"</f>
        <v>1996-08-28</v>
      </c>
      <c r="F62" s="15" t="str">
        <f t="shared" si="22"/>
        <v>研究生</v>
      </c>
      <c r="G62" s="15" t="str">
        <f t="shared" si="23"/>
        <v>硕士</v>
      </c>
      <c r="H62" s="15" t="str">
        <f>"妇产科学"</f>
        <v>妇产科学</v>
      </c>
      <c r="I62" s="15" t="str">
        <f t="shared" si="20"/>
        <v>医师</v>
      </c>
      <c r="J62" s="18">
        <v>66.5</v>
      </c>
      <c r="K62" s="18">
        <v>66</v>
      </c>
      <c r="L62" s="20"/>
    </row>
    <row r="63" ht="28" customHeight="1" spans="1:12">
      <c r="A63" s="14">
        <v>61</v>
      </c>
      <c r="B63" s="15" t="s">
        <v>74</v>
      </c>
      <c r="C63" s="15" t="s">
        <v>75</v>
      </c>
      <c r="D63" s="15" t="str">
        <f t="shared" si="19"/>
        <v>男</v>
      </c>
      <c r="E63" s="15" t="str">
        <f>"1995-12-21"</f>
        <v>1995-12-21</v>
      </c>
      <c r="F63" s="15" t="str">
        <f t="shared" si="22"/>
        <v>研究生</v>
      </c>
      <c r="G63" s="15" t="str">
        <f t="shared" si="23"/>
        <v>硕士</v>
      </c>
      <c r="H63" s="15" t="str">
        <f>"外科学"</f>
        <v>外科学</v>
      </c>
      <c r="I63" s="15" t="str">
        <f t="shared" si="20"/>
        <v>医师</v>
      </c>
      <c r="J63" s="18">
        <v>65.5</v>
      </c>
      <c r="K63" s="18">
        <v>65.5</v>
      </c>
      <c r="L63" s="20"/>
    </row>
    <row r="64" ht="28" customHeight="1" spans="1:12">
      <c r="A64" s="14">
        <v>62</v>
      </c>
      <c r="B64" s="15" t="s">
        <v>76</v>
      </c>
      <c r="C64" s="15" t="s">
        <v>77</v>
      </c>
      <c r="D64" s="15" t="s">
        <v>78</v>
      </c>
      <c r="E64" s="15" t="str">
        <f>"1989-10-21"</f>
        <v>1989-10-21</v>
      </c>
      <c r="F64" s="15" t="str">
        <f>"本科"</f>
        <v>本科</v>
      </c>
      <c r="G64" s="15" t="str">
        <f>"学士"</f>
        <v>学士</v>
      </c>
      <c r="H64" s="15" t="str">
        <f>"生物医学工程"</f>
        <v>生物医学工程</v>
      </c>
      <c r="I64" s="15"/>
      <c r="J64" s="18">
        <v>64</v>
      </c>
      <c r="K64" s="18">
        <v>57</v>
      </c>
      <c r="L64" s="20"/>
    </row>
    <row r="65" ht="34" customHeight="1" spans="1:12">
      <c r="A65" s="23" t="s">
        <v>79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</row>
  </sheetData>
  <mergeCells count="10">
    <mergeCell ref="A1:K1"/>
    <mergeCell ref="A65:L65"/>
    <mergeCell ref="K3:K5"/>
    <mergeCell ref="K7:K8"/>
    <mergeCell ref="K9:K12"/>
    <mergeCell ref="K13:K44"/>
    <mergeCell ref="K45:K48"/>
    <mergeCell ref="K50:K54"/>
    <mergeCell ref="K55:K56"/>
    <mergeCell ref="K58:K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80" zoomScaleNormal="80" topLeftCell="A47" workbookViewId="0">
      <selection activeCell="D2" sqref="D2:K60"/>
    </sheetView>
  </sheetViews>
  <sheetFormatPr defaultColWidth="9" defaultRowHeight="35.1" customHeight="1"/>
  <cols>
    <col min="1" max="1" width="5.75" style="2" customWidth="1"/>
    <col min="2" max="2" width="8.875" style="3" customWidth="1"/>
    <col min="3" max="3" width="19.4416666666667" style="3" customWidth="1"/>
    <col min="4" max="4" width="11.75" style="2" customWidth="1"/>
    <col min="5" max="5" width="5.125" style="3" customWidth="1"/>
    <col min="6" max="6" width="11.5" style="3" customWidth="1"/>
    <col min="7" max="8" width="9" style="2"/>
    <col min="9" max="9" width="19.4416666666667" style="2" customWidth="1"/>
    <col min="10" max="10" width="21.6666666666667" style="2" customWidth="1"/>
    <col min="11" max="11" width="18.1916666666667" style="2" customWidth="1"/>
    <col min="12" max="16377" width="9" style="2"/>
    <col min="16378" max="16384" width="9" style="4"/>
  </cols>
  <sheetData>
    <row r="1" s="1" customFormat="1" ht="31" customHeight="1" spans="1:11">
      <c r="A1" s="5" t="s">
        <v>1</v>
      </c>
      <c r="B1" s="6" t="s">
        <v>2</v>
      </c>
      <c r="C1" s="6" t="s">
        <v>3</v>
      </c>
      <c r="D1" s="5" t="s">
        <v>80</v>
      </c>
      <c r="E1" s="6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12</v>
      </c>
    </row>
    <row r="2" s="2" customFormat="1" ht="24.95" customHeight="1" spans="1:11">
      <c r="A2" s="7">
        <v>1</v>
      </c>
      <c r="B2" s="8" t="str">
        <f>"张开琴"</f>
        <v>张开琴</v>
      </c>
      <c r="C2" s="9" t="s">
        <v>13</v>
      </c>
      <c r="D2" s="7" t="str">
        <f>"海南乐东黎族自治县"</f>
        <v>海南乐东黎族自治县</v>
      </c>
      <c r="E2" s="9" t="str">
        <f>"女"</f>
        <v>女</v>
      </c>
      <c r="F2" s="9" t="str">
        <f>"1995-12-11"</f>
        <v>1995-12-11</v>
      </c>
      <c r="G2" s="7" t="str">
        <f>"研究生"</f>
        <v>研究生</v>
      </c>
      <c r="H2" s="7" t="str">
        <f>"硕士"</f>
        <v>硕士</v>
      </c>
      <c r="I2" s="7" t="str">
        <f>"公共卫生"</f>
        <v>公共卫生</v>
      </c>
      <c r="J2" s="7" t="s">
        <v>14</v>
      </c>
      <c r="K2" s="7"/>
    </row>
    <row r="3" s="2" customFormat="1" ht="24.95" customHeight="1" spans="1:11">
      <c r="A3" s="7">
        <v>2</v>
      </c>
      <c r="B3" s="8" t="str">
        <f>"邱健敏"</f>
        <v>邱健敏</v>
      </c>
      <c r="C3" s="9" t="s">
        <v>13</v>
      </c>
      <c r="D3" s="7" t="str">
        <f>"海南儋州"</f>
        <v>海南儋州</v>
      </c>
      <c r="E3" s="9" t="str">
        <f>"女"</f>
        <v>女</v>
      </c>
      <c r="F3" s="9" t="str">
        <f>"1996-07-18"</f>
        <v>1996-07-18</v>
      </c>
      <c r="G3" s="7" t="str">
        <f>"研究生"</f>
        <v>研究生</v>
      </c>
      <c r="H3" s="7" t="str">
        <f>"硕士"</f>
        <v>硕士</v>
      </c>
      <c r="I3" s="7" t="str">
        <f>"公共卫生"</f>
        <v>公共卫生</v>
      </c>
      <c r="J3" s="7" t="str">
        <f>"医师"</f>
        <v>医师</v>
      </c>
      <c r="K3" s="7"/>
    </row>
    <row r="4" s="2" customFormat="1" ht="24.95" customHeight="1" spans="1:11">
      <c r="A4" s="7">
        <v>3</v>
      </c>
      <c r="B4" s="8" t="str">
        <f>"范世恒"</f>
        <v>范世恒</v>
      </c>
      <c r="C4" s="9" t="s">
        <v>13</v>
      </c>
      <c r="D4" s="7" t="str">
        <f>"海南昌江"</f>
        <v>海南昌江</v>
      </c>
      <c r="E4" s="9" t="str">
        <f>"男"</f>
        <v>男</v>
      </c>
      <c r="F4" s="9" t="str">
        <f>"1997-01-16"</f>
        <v>1997-01-16</v>
      </c>
      <c r="G4" s="7" t="str">
        <f>"研究生"</f>
        <v>研究生</v>
      </c>
      <c r="H4" s="7" t="str">
        <f>"硕士"</f>
        <v>硕士</v>
      </c>
      <c r="I4" s="7" t="str">
        <f>"公共卫生"</f>
        <v>公共卫生</v>
      </c>
      <c r="J4" s="7" t="s">
        <v>14</v>
      </c>
      <c r="K4" s="7"/>
    </row>
    <row r="5" s="2" customFormat="1" ht="24.95" customHeight="1" spans="1:11">
      <c r="A5" s="7">
        <v>4</v>
      </c>
      <c r="B5" s="8" t="str">
        <f>"符小鹏"</f>
        <v>符小鹏</v>
      </c>
      <c r="C5" s="9" t="s">
        <v>15</v>
      </c>
      <c r="D5" s="7" t="str">
        <f>"海南昌江"</f>
        <v>海南昌江</v>
      </c>
      <c r="E5" s="9" t="str">
        <f>"男"</f>
        <v>男</v>
      </c>
      <c r="F5" s="9" t="str">
        <f>"1994-12-09"</f>
        <v>1994-12-09</v>
      </c>
      <c r="G5" s="7" t="str">
        <f t="shared" ref="G5:G54" si="0">"本科"</f>
        <v>本科</v>
      </c>
      <c r="H5" s="7" t="str">
        <f t="shared" ref="H5:H54" si="1">"学士"</f>
        <v>学士</v>
      </c>
      <c r="I5" s="7" t="str">
        <f>"临床医学"</f>
        <v>临床医学</v>
      </c>
      <c r="J5" s="7" t="str">
        <f>"主治医师"</f>
        <v>主治医师</v>
      </c>
      <c r="K5" s="7"/>
    </row>
    <row r="6" s="2" customFormat="1" ht="24.95" customHeight="1" spans="1:11">
      <c r="A6" s="7">
        <v>5</v>
      </c>
      <c r="B6" s="8" t="str">
        <f>"赵永芳"</f>
        <v>赵永芳</v>
      </c>
      <c r="C6" s="9" t="s">
        <v>17</v>
      </c>
      <c r="D6" s="7" t="str">
        <f>"海南海口"</f>
        <v>海南海口</v>
      </c>
      <c r="E6" s="9" t="str">
        <f t="shared" ref="E6:E30" si="2">"女"</f>
        <v>女</v>
      </c>
      <c r="F6" s="9" t="str">
        <f>"1998-12-11"</f>
        <v>1998-12-11</v>
      </c>
      <c r="G6" s="7" t="str">
        <f t="shared" si="0"/>
        <v>本科</v>
      </c>
      <c r="H6" s="7" t="str">
        <f t="shared" si="1"/>
        <v>学士</v>
      </c>
      <c r="I6" s="7" t="str">
        <f>"医学影像技术"</f>
        <v>医学影像技术</v>
      </c>
      <c r="J6" s="7" t="str">
        <f>"放射医学技术师"</f>
        <v>放射医学技术师</v>
      </c>
      <c r="K6" s="7"/>
    </row>
    <row r="7" s="2" customFormat="1" ht="24.95" customHeight="1" spans="1:11">
      <c r="A7" s="7">
        <v>6</v>
      </c>
      <c r="B7" s="8" t="str">
        <f>"周菊秋"</f>
        <v>周菊秋</v>
      </c>
      <c r="C7" s="9" t="s">
        <v>17</v>
      </c>
      <c r="D7" s="7" t="str">
        <f>"海南儋州"</f>
        <v>海南儋州</v>
      </c>
      <c r="E7" s="9" t="str">
        <f t="shared" si="2"/>
        <v>女</v>
      </c>
      <c r="F7" s="9" t="str">
        <f>"1997-02-10"</f>
        <v>1997-02-10</v>
      </c>
      <c r="G7" s="7" t="str">
        <f t="shared" si="0"/>
        <v>本科</v>
      </c>
      <c r="H7" s="7" t="str">
        <f t="shared" si="1"/>
        <v>学士</v>
      </c>
      <c r="I7" s="7" t="str">
        <f>"医学影像技术"</f>
        <v>医学影像技术</v>
      </c>
      <c r="J7" s="7" t="str">
        <f>"放射医学技术师"</f>
        <v>放射医学技术师</v>
      </c>
      <c r="K7" s="7"/>
    </row>
    <row r="8" s="2" customFormat="1" ht="24.95" customHeight="1" spans="1:11">
      <c r="A8" s="7">
        <v>7</v>
      </c>
      <c r="B8" s="8" t="str">
        <f>"王心怡"</f>
        <v>王心怡</v>
      </c>
      <c r="C8" s="9" t="s">
        <v>20</v>
      </c>
      <c r="D8" s="7" t="str">
        <f>"海南三亚"</f>
        <v>海南三亚</v>
      </c>
      <c r="E8" s="9" t="str">
        <f t="shared" si="2"/>
        <v>女</v>
      </c>
      <c r="F8" s="9" t="str">
        <f>"2002-06-21"</f>
        <v>2002-06-21</v>
      </c>
      <c r="G8" s="7" t="str">
        <f t="shared" si="0"/>
        <v>本科</v>
      </c>
      <c r="H8" s="7" t="str">
        <f t="shared" si="1"/>
        <v>学士</v>
      </c>
      <c r="I8" s="7" t="str">
        <f>"助产学"</f>
        <v>助产学</v>
      </c>
      <c r="J8" s="7"/>
      <c r="K8" s="7" t="s">
        <v>81</v>
      </c>
    </row>
    <row r="9" s="2" customFormat="1" ht="24.95" customHeight="1" spans="1:11">
      <c r="A9" s="7">
        <v>8</v>
      </c>
      <c r="B9" s="8" t="str">
        <f>"林芯如"</f>
        <v>林芯如</v>
      </c>
      <c r="C9" s="9" t="s">
        <v>20</v>
      </c>
      <c r="D9" s="7" t="str">
        <f>"海南海口"</f>
        <v>海南海口</v>
      </c>
      <c r="E9" s="9" t="str">
        <f t="shared" si="2"/>
        <v>女</v>
      </c>
      <c r="F9" s="9" t="str">
        <f>"2001-05-20"</f>
        <v>2001-05-20</v>
      </c>
      <c r="G9" s="7" t="str">
        <f t="shared" si="0"/>
        <v>本科</v>
      </c>
      <c r="H9" s="7" t="str">
        <f t="shared" si="1"/>
        <v>学士</v>
      </c>
      <c r="I9" s="7" t="str">
        <f>"助产学"</f>
        <v>助产学</v>
      </c>
      <c r="J9" s="7"/>
      <c r="K9" s="7" t="s">
        <v>81</v>
      </c>
    </row>
    <row r="10" s="2" customFormat="1" ht="24.95" customHeight="1" spans="1:11">
      <c r="A10" s="7">
        <v>9</v>
      </c>
      <c r="B10" s="8" t="str">
        <f>"陈华梅"</f>
        <v>陈华梅</v>
      </c>
      <c r="C10" s="9" t="s">
        <v>20</v>
      </c>
      <c r="D10" s="7" t="str">
        <f>"海南儋州"</f>
        <v>海南儋州</v>
      </c>
      <c r="E10" s="9" t="str">
        <f t="shared" si="2"/>
        <v>女</v>
      </c>
      <c r="F10" s="9" t="str">
        <f>"2000-06-25"</f>
        <v>2000-06-25</v>
      </c>
      <c r="G10" s="7" t="str">
        <f t="shared" si="0"/>
        <v>本科</v>
      </c>
      <c r="H10" s="7" t="str">
        <f t="shared" si="1"/>
        <v>学士</v>
      </c>
      <c r="I10" s="7" t="str">
        <f>"助产学"</f>
        <v>助产学</v>
      </c>
      <c r="J10" s="7"/>
      <c r="K10" s="7" t="s">
        <v>81</v>
      </c>
    </row>
    <row r="11" s="2" customFormat="1" ht="24.95" customHeight="1" spans="1:11">
      <c r="A11" s="7">
        <v>10</v>
      </c>
      <c r="B11" s="8" t="str">
        <f>"孙雅会"</f>
        <v>孙雅会</v>
      </c>
      <c r="C11" s="9" t="s">
        <v>20</v>
      </c>
      <c r="D11" s="7" t="str">
        <f>"吉林吉林"</f>
        <v>吉林吉林</v>
      </c>
      <c r="E11" s="9" t="str">
        <f t="shared" si="2"/>
        <v>女</v>
      </c>
      <c r="F11" s="9" t="str">
        <f>"1993-01-18"</f>
        <v>1993-01-18</v>
      </c>
      <c r="G11" s="7" t="str">
        <f t="shared" si="0"/>
        <v>本科</v>
      </c>
      <c r="H11" s="7" t="str">
        <f t="shared" si="1"/>
        <v>学士</v>
      </c>
      <c r="I11" s="7" t="str">
        <f>"助产护理学"</f>
        <v>助产护理学</v>
      </c>
      <c r="J11" s="7" t="str">
        <f>"护师"</f>
        <v>护师</v>
      </c>
      <c r="K11" s="7"/>
    </row>
    <row r="12" s="2" customFormat="1" ht="24.95" customHeight="1" spans="1:11">
      <c r="A12" s="7">
        <v>11</v>
      </c>
      <c r="B12" s="8" t="str">
        <f>"陈晓霞"</f>
        <v>陈晓霞</v>
      </c>
      <c r="C12" s="9" t="s">
        <v>26</v>
      </c>
      <c r="D12" s="7" t="str">
        <f>"海南临高"</f>
        <v>海南临高</v>
      </c>
      <c r="E12" s="9" t="str">
        <f t="shared" si="2"/>
        <v>女</v>
      </c>
      <c r="F12" s="9" t="str">
        <f>"2001-03-11"</f>
        <v>2001-03-11</v>
      </c>
      <c r="G12" s="7" t="str">
        <f t="shared" si="0"/>
        <v>本科</v>
      </c>
      <c r="H12" s="7" t="str">
        <f t="shared" si="1"/>
        <v>学士</v>
      </c>
      <c r="I12" s="7" t="str">
        <f>"护理学"</f>
        <v>护理学</v>
      </c>
      <c r="J12" s="7"/>
      <c r="K12" s="7" t="s">
        <v>81</v>
      </c>
    </row>
    <row r="13" s="2" customFormat="1" ht="24.95" customHeight="1" spans="1:11">
      <c r="A13" s="7">
        <v>12</v>
      </c>
      <c r="B13" s="8" t="str">
        <f>"马瑛谨"</f>
        <v>马瑛谨</v>
      </c>
      <c r="C13" s="9" t="s">
        <v>26</v>
      </c>
      <c r="D13" s="7" t="str">
        <f>"海南澄迈"</f>
        <v>海南澄迈</v>
      </c>
      <c r="E13" s="9" t="str">
        <f t="shared" si="2"/>
        <v>女</v>
      </c>
      <c r="F13" s="9" t="str">
        <f>"2000-12-03"</f>
        <v>2000-12-03</v>
      </c>
      <c r="G13" s="7" t="str">
        <f t="shared" si="0"/>
        <v>本科</v>
      </c>
      <c r="H13" s="7" t="str">
        <f t="shared" si="1"/>
        <v>学士</v>
      </c>
      <c r="I13" s="7" t="str">
        <f>"护理"</f>
        <v>护理</v>
      </c>
      <c r="J13" s="7" t="str">
        <f>"护士"</f>
        <v>护士</v>
      </c>
      <c r="K13" s="7"/>
    </row>
    <row r="14" s="2" customFormat="1" ht="24.95" customHeight="1" spans="1:11">
      <c r="A14" s="7">
        <v>13</v>
      </c>
      <c r="B14" s="8" t="str">
        <f>"曾梦茹"</f>
        <v>曾梦茹</v>
      </c>
      <c r="C14" s="9" t="s">
        <v>26</v>
      </c>
      <c r="D14" s="7" t="str">
        <f>"海南定安"</f>
        <v>海南定安</v>
      </c>
      <c r="E14" s="9" t="str">
        <f t="shared" si="2"/>
        <v>女</v>
      </c>
      <c r="F14" s="9" t="str">
        <f>"2001-11-23"</f>
        <v>2001-11-23</v>
      </c>
      <c r="G14" s="7" t="str">
        <f t="shared" si="0"/>
        <v>本科</v>
      </c>
      <c r="H14" s="7" t="str">
        <f t="shared" si="1"/>
        <v>学士</v>
      </c>
      <c r="I14" s="7" t="str">
        <f>"护理学"</f>
        <v>护理学</v>
      </c>
      <c r="J14" s="7"/>
      <c r="K14" s="7" t="s">
        <v>81</v>
      </c>
    </row>
    <row r="15" s="2" customFormat="1" ht="24.95" customHeight="1" spans="1:11">
      <c r="A15" s="7">
        <v>14</v>
      </c>
      <c r="B15" s="8" t="str">
        <f>"王佳琪"</f>
        <v>王佳琪</v>
      </c>
      <c r="C15" s="9" t="s">
        <v>26</v>
      </c>
      <c r="D15" s="7" t="str">
        <f>"海南海口"</f>
        <v>海南海口</v>
      </c>
      <c r="E15" s="9" t="str">
        <f t="shared" si="2"/>
        <v>女</v>
      </c>
      <c r="F15" s="9" t="str">
        <f>"2002-05-09"</f>
        <v>2002-05-09</v>
      </c>
      <c r="G15" s="7" t="str">
        <f t="shared" si="0"/>
        <v>本科</v>
      </c>
      <c r="H15" s="7" t="str">
        <f t="shared" si="1"/>
        <v>学士</v>
      </c>
      <c r="I15" s="7" t="str">
        <f>"护理学"</f>
        <v>护理学</v>
      </c>
      <c r="J15" s="7" t="str">
        <f>"护士"</f>
        <v>护士</v>
      </c>
      <c r="K15" s="7"/>
    </row>
    <row r="16" s="2" customFormat="1" ht="24.95" customHeight="1" spans="1:11">
      <c r="A16" s="7">
        <v>15</v>
      </c>
      <c r="B16" s="8" t="str">
        <f>"文开婷"</f>
        <v>文开婷</v>
      </c>
      <c r="C16" s="9" t="s">
        <v>26</v>
      </c>
      <c r="D16" s="7" t="str">
        <f>"海南东方"</f>
        <v>海南东方</v>
      </c>
      <c r="E16" s="9" t="str">
        <f t="shared" si="2"/>
        <v>女</v>
      </c>
      <c r="F16" s="9" t="str">
        <f>"1999-10-26"</f>
        <v>1999-10-26</v>
      </c>
      <c r="G16" s="7" t="str">
        <f t="shared" si="0"/>
        <v>本科</v>
      </c>
      <c r="H16" s="7" t="str">
        <f t="shared" si="1"/>
        <v>学士</v>
      </c>
      <c r="I16" s="7" t="str">
        <f>"护理"</f>
        <v>护理</v>
      </c>
      <c r="J16" s="7" t="str">
        <f>"护士"</f>
        <v>护士</v>
      </c>
      <c r="K16" s="7"/>
    </row>
    <row r="17" s="2" customFormat="1" ht="24.95" customHeight="1" spans="1:11">
      <c r="A17" s="7">
        <v>16</v>
      </c>
      <c r="B17" s="8" t="str">
        <f>"陈欣颖"</f>
        <v>陈欣颖</v>
      </c>
      <c r="C17" s="9" t="s">
        <v>26</v>
      </c>
      <c r="D17" s="7" t="str">
        <f>"海南儋州"</f>
        <v>海南儋州</v>
      </c>
      <c r="E17" s="9" t="str">
        <f t="shared" si="2"/>
        <v>女</v>
      </c>
      <c r="F17" s="9" t="str">
        <f>"1998-09-04"</f>
        <v>1998-09-04</v>
      </c>
      <c r="G17" s="7" t="str">
        <f t="shared" si="0"/>
        <v>本科</v>
      </c>
      <c r="H17" s="7" t="str">
        <f t="shared" si="1"/>
        <v>学士</v>
      </c>
      <c r="I17" s="7" t="str">
        <f>"护理学"</f>
        <v>护理学</v>
      </c>
      <c r="J17" s="7" t="str">
        <f>"护士"</f>
        <v>护士</v>
      </c>
      <c r="K17" s="7"/>
    </row>
    <row r="18" s="2" customFormat="1" ht="24.95" customHeight="1" spans="1:11">
      <c r="A18" s="7">
        <v>17</v>
      </c>
      <c r="B18" s="8" t="str">
        <f>"邢贞萍"</f>
        <v>邢贞萍</v>
      </c>
      <c r="C18" s="9" t="s">
        <v>26</v>
      </c>
      <c r="D18" s="7" t="str">
        <f>"海南东方"</f>
        <v>海南东方</v>
      </c>
      <c r="E18" s="9" t="str">
        <f t="shared" si="2"/>
        <v>女</v>
      </c>
      <c r="F18" s="9" t="str">
        <f>"2002-02-25"</f>
        <v>2002-02-25</v>
      </c>
      <c r="G18" s="7" t="str">
        <f t="shared" si="0"/>
        <v>本科</v>
      </c>
      <c r="H18" s="7" t="str">
        <f t="shared" si="1"/>
        <v>学士</v>
      </c>
      <c r="I18" s="7" t="str">
        <f>"护理学"</f>
        <v>护理学</v>
      </c>
      <c r="J18" s="7"/>
      <c r="K18" s="7" t="s">
        <v>81</v>
      </c>
    </row>
    <row r="19" s="2" customFormat="1" ht="24.95" customHeight="1" spans="1:11">
      <c r="A19" s="7">
        <v>18</v>
      </c>
      <c r="B19" s="8" t="str">
        <f>"柯岚"</f>
        <v>柯岚</v>
      </c>
      <c r="C19" s="9" t="s">
        <v>26</v>
      </c>
      <c r="D19" s="7" t="str">
        <f>"海南海口"</f>
        <v>海南海口</v>
      </c>
      <c r="E19" s="9" t="str">
        <f t="shared" si="2"/>
        <v>女</v>
      </c>
      <c r="F19" s="9" t="str">
        <f>"2002-12-08"</f>
        <v>2002-12-08</v>
      </c>
      <c r="G19" s="7" t="str">
        <f t="shared" si="0"/>
        <v>本科</v>
      </c>
      <c r="H19" s="7" t="str">
        <f t="shared" si="1"/>
        <v>学士</v>
      </c>
      <c r="I19" s="7" t="str">
        <f>"护理"</f>
        <v>护理</v>
      </c>
      <c r="J19" s="7" t="s">
        <v>21</v>
      </c>
      <c r="K19" s="7"/>
    </row>
    <row r="20" s="2" customFormat="1" ht="24.95" customHeight="1" spans="1:11">
      <c r="A20" s="7">
        <v>19</v>
      </c>
      <c r="B20" s="8" t="str">
        <f>"刘凤"</f>
        <v>刘凤</v>
      </c>
      <c r="C20" s="9" t="s">
        <v>26</v>
      </c>
      <c r="D20" s="7" t="str">
        <f>"贵州安顺"</f>
        <v>贵州安顺</v>
      </c>
      <c r="E20" s="9" t="str">
        <f t="shared" si="2"/>
        <v>女</v>
      </c>
      <c r="F20" s="9" t="str">
        <f>"2001-01-22"</f>
        <v>2001-01-22</v>
      </c>
      <c r="G20" s="7" t="str">
        <f t="shared" si="0"/>
        <v>本科</v>
      </c>
      <c r="H20" s="7" t="str">
        <f t="shared" si="1"/>
        <v>学士</v>
      </c>
      <c r="I20" s="7" t="str">
        <f>"护理"</f>
        <v>护理</v>
      </c>
      <c r="J20" s="7"/>
      <c r="K20" s="7" t="s">
        <v>81</v>
      </c>
    </row>
    <row r="21" s="2" customFormat="1" ht="24.95" customHeight="1" spans="1:11">
      <c r="A21" s="7">
        <v>20</v>
      </c>
      <c r="B21" s="8" t="str">
        <f>"蒙淑雅"</f>
        <v>蒙淑雅</v>
      </c>
      <c r="C21" s="9" t="s">
        <v>26</v>
      </c>
      <c r="D21" s="7" t="str">
        <f>"海南定安"</f>
        <v>海南定安</v>
      </c>
      <c r="E21" s="9" t="str">
        <f t="shared" si="2"/>
        <v>女</v>
      </c>
      <c r="F21" s="9" t="str">
        <f>"2001-06-22"</f>
        <v>2001-06-22</v>
      </c>
      <c r="G21" s="7" t="str">
        <f t="shared" si="0"/>
        <v>本科</v>
      </c>
      <c r="H21" s="7" t="str">
        <f t="shared" si="1"/>
        <v>学士</v>
      </c>
      <c r="I21" s="7" t="str">
        <f>"护理"</f>
        <v>护理</v>
      </c>
      <c r="J21" s="7"/>
      <c r="K21" s="7" t="s">
        <v>81</v>
      </c>
    </row>
    <row r="22" s="2" customFormat="1" ht="24.95" customHeight="1" spans="1:11">
      <c r="A22" s="7">
        <v>21</v>
      </c>
      <c r="B22" s="8" t="str">
        <f>"苏益妹"</f>
        <v>苏益妹</v>
      </c>
      <c r="C22" s="9" t="s">
        <v>26</v>
      </c>
      <c r="D22" s="7" t="str">
        <f>"海南儋州"</f>
        <v>海南儋州</v>
      </c>
      <c r="E22" s="9" t="str">
        <f t="shared" si="2"/>
        <v>女</v>
      </c>
      <c r="F22" s="9" t="str">
        <f>"1998-04-05"</f>
        <v>1998-04-05</v>
      </c>
      <c r="G22" s="7" t="str">
        <f t="shared" si="0"/>
        <v>本科</v>
      </c>
      <c r="H22" s="7" t="str">
        <f t="shared" si="1"/>
        <v>学士</v>
      </c>
      <c r="I22" s="7" t="str">
        <f>"护理学"</f>
        <v>护理学</v>
      </c>
      <c r="J22" s="7" t="str">
        <f>"护士"</f>
        <v>护士</v>
      </c>
      <c r="K22" s="7"/>
    </row>
    <row r="23" s="2" customFormat="1" ht="24.95" customHeight="1" spans="1:11">
      <c r="A23" s="7">
        <v>22</v>
      </c>
      <c r="B23" s="8" t="str">
        <f>"陈俊姬"</f>
        <v>陈俊姬</v>
      </c>
      <c r="C23" s="9" t="s">
        <v>26</v>
      </c>
      <c r="D23" s="7" t="str">
        <f>"海南文昌"</f>
        <v>海南文昌</v>
      </c>
      <c r="E23" s="9" t="str">
        <f t="shared" si="2"/>
        <v>女</v>
      </c>
      <c r="F23" s="9" t="str">
        <f>"2002-05-16"</f>
        <v>2002-05-16</v>
      </c>
      <c r="G23" s="7" t="str">
        <f t="shared" si="0"/>
        <v>本科</v>
      </c>
      <c r="H23" s="7" t="str">
        <f t="shared" si="1"/>
        <v>学士</v>
      </c>
      <c r="I23" s="7" t="str">
        <f>"护理学"</f>
        <v>护理学</v>
      </c>
      <c r="J23" s="7"/>
      <c r="K23" s="7" t="s">
        <v>81</v>
      </c>
    </row>
    <row r="24" s="2" customFormat="1" ht="24.95" customHeight="1" spans="1:11">
      <c r="A24" s="7">
        <v>23</v>
      </c>
      <c r="B24" s="8" t="str">
        <f>"蔡水甜"</f>
        <v>蔡水甜</v>
      </c>
      <c r="C24" s="9" t="s">
        <v>26</v>
      </c>
      <c r="D24" s="7" t="str">
        <f>"海南乐东"</f>
        <v>海南乐东</v>
      </c>
      <c r="E24" s="9" t="str">
        <f t="shared" si="2"/>
        <v>女</v>
      </c>
      <c r="F24" s="9" t="str">
        <f>"2000-01-05"</f>
        <v>2000-01-05</v>
      </c>
      <c r="G24" s="7" t="str">
        <f t="shared" si="0"/>
        <v>本科</v>
      </c>
      <c r="H24" s="7" t="str">
        <f t="shared" si="1"/>
        <v>学士</v>
      </c>
      <c r="I24" s="7" t="str">
        <f>"护理"</f>
        <v>护理</v>
      </c>
      <c r="J24" s="7" t="s">
        <v>21</v>
      </c>
      <c r="K24" s="7"/>
    </row>
    <row r="25" s="2" customFormat="1" ht="24.95" customHeight="1" spans="1:11">
      <c r="A25" s="7">
        <v>24</v>
      </c>
      <c r="B25" s="8" t="str">
        <f>"王丽娟"</f>
        <v>王丽娟</v>
      </c>
      <c r="C25" s="9" t="s">
        <v>26</v>
      </c>
      <c r="D25" s="7" t="str">
        <f>"海南临高"</f>
        <v>海南临高</v>
      </c>
      <c r="E25" s="9" t="str">
        <f t="shared" si="2"/>
        <v>女</v>
      </c>
      <c r="F25" s="9" t="str">
        <f>"2000-10-23"</f>
        <v>2000-10-23</v>
      </c>
      <c r="G25" s="7" t="str">
        <f t="shared" si="0"/>
        <v>本科</v>
      </c>
      <c r="H25" s="7" t="str">
        <f t="shared" si="1"/>
        <v>学士</v>
      </c>
      <c r="I25" s="7" t="str">
        <f>"护理"</f>
        <v>护理</v>
      </c>
      <c r="J25" s="7"/>
      <c r="K25" s="7" t="s">
        <v>81</v>
      </c>
    </row>
    <row r="26" s="2" customFormat="1" ht="24.95" customHeight="1" spans="1:11">
      <c r="A26" s="7">
        <v>25</v>
      </c>
      <c r="B26" s="8" t="str">
        <f>"陈莹莹"</f>
        <v>陈莹莹</v>
      </c>
      <c r="C26" s="9" t="s">
        <v>26</v>
      </c>
      <c r="D26" s="7" t="str">
        <f>"海南海口"</f>
        <v>海南海口</v>
      </c>
      <c r="E26" s="9" t="str">
        <f t="shared" si="2"/>
        <v>女</v>
      </c>
      <c r="F26" s="9" t="str">
        <f>"2000-11-20"</f>
        <v>2000-11-20</v>
      </c>
      <c r="G26" s="7" t="str">
        <f t="shared" si="0"/>
        <v>本科</v>
      </c>
      <c r="H26" s="7" t="str">
        <f t="shared" si="1"/>
        <v>学士</v>
      </c>
      <c r="I26" s="7" t="str">
        <f>"护理"</f>
        <v>护理</v>
      </c>
      <c r="J26" s="7"/>
      <c r="K26" s="7" t="s">
        <v>81</v>
      </c>
    </row>
    <row r="27" s="2" customFormat="1" ht="24.95" customHeight="1" spans="1:11">
      <c r="A27" s="7">
        <v>26</v>
      </c>
      <c r="B27" s="8" t="str">
        <f>"陈小媛"</f>
        <v>陈小媛</v>
      </c>
      <c r="C27" s="9" t="s">
        <v>26</v>
      </c>
      <c r="D27" s="7" t="str">
        <f>"海南临高"</f>
        <v>海南临高</v>
      </c>
      <c r="E27" s="9" t="str">
        <f t="shared" si="2"/>
        <v>女</v>
      </c>
      <c r="F27" s="9" t="str">
        <f>"1993-05-29"</f>
        <v>1993-05-29</v>
      </c>
      <c r="G27" s="7" t="str">
        <f t="shared" si="0"/>
        <v>本科</v>
      </c>
      <c r="H27" s="7" t="str">
        <f t="shared" si="1"/>
        <v>学士</v>
      </c>
      <c r="I27" s="7" t="str">
        <f>"护理"</f>
        <v>护理</v>
      </c>
      <c r="J27" s="7" t="str">
        <f>"护师"</f>
        <v>护师</v>
      </c>
      <c r="K27" s="7"/>
    </row>
    <row r="28" s="2" customFormat="1" ht="24.95" customHeight="1" spans="1:11">
      <c r="A28" s="7">
        <v>27</v>
      </c>
      <c r="B28" s="8" t="str">
        <f>"谢丕莹"</f>
        <v>谢丕莹</v>
      </c>
      <c r="C28" s="9" t="s">
        <v>26</v>
      </c>
      <c r="D28" s="7" t="str">
        <f>"海南儋州"</f>
        <v>海南儋州</v>
      </c>
      <c r="E28" s="9" t="str">
        <f t="shared" si="2"/>
        <v>女</v>
      </c>
      <c r="F28" s="9" t="str">
        <f>"2001-06-02"</f>
        <v>2001-06-02</v>
      </c>
      <c r="G28" s="7" t="str">
        <f t="shared" si="0"/>
        <v>本科</v>
      </c>
      <c r="H28" s="7" t="str">
        <f t="shared" si="1"/>
        <v>学士</v>
      </c>
      <c r="I28" s="7" t="str">
        <f>"护理学"</f>
        <v>护理学</v>
      </c>
      <c r="J28" s="7"/>
      <c r="K28" s="7" t="s">
        <v>81</v>
      </c>
    </row>
    <row r="29" s="2" customFormat="1" ht="24.95" customHeight="1" spans="1:11">
      <c r="A29" s="7">
        <v>28</v>
      </c>
      <c r="B29" s="8" t="str">
        <f>"蔡婷婷"</f>
        <v>蔡婷婷</v>
      </c>
      <c r="C29" s="9" t="s">
        <v>26</v>
      </c>
      <c r="D29" s="7" t="str">
        <f>"海南万宁"</f>
        <v>海南万宁</v>
      </c>
      <c r="E29" s="9" t="str">
        <f t="shared" si="2"/>
        <v>女</v>
      </c>
      <c r="F29" s="9" t="str">
        <f>"1999-09-06"</f>
        <v>1999-09-06</v>
      </c>
      <c r="G29" s="7" t="str">
        <f t="shared" si="0"/>
        <v>本科</v>
      </c>
      <c r="H29" s="7" t="str">
        <f t="shared" si="1"/>
        <v>学士</v>
      </c>
      <c r="I29" s="7" t="str">
        <f>"护理"</f>
        <v>护理</v>
      </c>
      <c r="J29" s="7" t="str">
        <f>"护士"</f>
        <v>护士</v>
      </c>
      <c r="K29" s="7"/>
    </row>
    <row r="30" s="2" customFormat="1" ht="24.95" customHeight="1" spans="1:11">
      <c r="A30" s="7">
        <v>29</v>
      </c>
      <c r="B30" s="8" t="str">
        <f>"陈瑾"</f>
        <v>陈瑾</v>
      </c>
      <c r="C30" s="9" t="s">
        <v>26</v>
      </c>
      <c r="D30" s="7" t="str">
        <f>"海南乐东"</f>
        <v>海南乐东</v>
      </c>
      <c r="E30" s="9" t="str">
        <f t="shared" si="2"/>
        <v>女</v>
      </c>
      <c r="F30" s="9" t="str">
        <f>"2001-08-10"</f>
        <v>2001-08-10</v>
      </c>
      <c r="G30" s="7" t="str">
        <f t="shared" si="0"/>
        <v>本科</v>
      </c>
      <c r="H30" s="7" t="str">
        <f t="shared" si="1"/>
        <v>学士</v>
      </c>
      <c r="I30" s="7" t="str">
        <f>"护理学"</f>
        <v>护理学</v>
      </c>
      <c r="J30" s="7"/>
      <c r="K30" s="7" t="s">
        <v>81</v>
      </c>
    </row>
    <row r="31" s="2" customFormat="1" ht="24.95" customHeight="1" spans="1:11">
      <c r="A31" s="7">
        <v>30</v>
      </c>
      <c r="B31" s="8" t="str">
        <f>"李孟腾"</f>
        <v>李孟腾</v>
      </c>
      <c r="C31" s="9" t="s">
        <v>26</v>
      </c>
      <c r="D31" s="7" t="str">
        <f>"海南儋州"</f>
        <v>海南儋州</v>
      </c>
      <c r="E31" s="9" t="str">
        <f>"男"</f>
        <v>男</v>
      </c>
      <c r="F31" s="9" t="str">
        <f>"2000-10-11"</f>
        <v>2000-10-11</v>
      </c>
      <c r="G31" s="7" t="str">
        <f t="shared" si="0"/>
        <v>本科</v>
      </c>
      <c r="H31" s="7" t="str">
        <f t="shared" si="1"/>
        <v>学士</v>
      </c>
      <c r="I31" s="7" t="str">
        <f>"护理学"</f>
        <v>护理学</v>
      </c>
      <c r="J31" s="7" t="s">
        <v>21</v>
      </c>
      <c r="K31" s="7"/>
    </row>
    <row r="32" s="2" customFormat="1" ht="24.95" customHeight="1" spans="1:11">
      <c r="A32" s="7">
        <v>31</v>
      </c>
      <c r="B32" s="8" t="str">
        <f>"邢维婷"</f>
        <v>邢维婷</v>
      </c>
      <c r="C32" s="9" t="s">
        <v>26</v>
      </c>
      <c r="D32" s="7" t="str">
        <f>"海南乐东"</f>
        <v>海南乐东</v>
      </c>
      <c r="E32" s="9" t="str">
        <f t="shared" ref="E32:E38" si="3">"女"</f>
        <v>女</v>
      </c>
      <c r="F32" s="9" t="str">
        <f>"2001-07-17"</f>
        <v>2001-07-17</v>
      </c>
      <c r="G32" s="7" t="str">
        <f t="shared" si="0"/>
        <v>本科</v>
      </c>
      <c r="H32" s="7" t="str">
        <f t="shared" si="1"/>
        <v>学士</v>
      </c>
      <c r="I32" s="7" t="str">
        <f>"护理"</f>
        <v>护理</v>
      </c>
      <c r="J32" s="7"/>
      <c r="K32" s="7" t="s">
        <v>81</v>
      </c>
    </row>
    <row r="33" s="2" customFormat="1" ht="24.95" customHeight="1" spans="1:11">
      <c r="A33" s="7">
        <v>32</v>
      </c>
      <c r="B33" s="8" t="str">
        <f>"王生媛"</f>
        <v>王生媛</v>
      </c>
      <c r="C33" s="9" t="s">
        <v>26</v>
      </c>
      <c r="D33" s="7" t="str">
        <f>"海南儋州"</f>
        <v>海南儋州</v>
      </c>
      <c r="E33" s="9" t="str">
        <f t="shared" si="3"/>
        <v>女</v>
      </c>
      <c r="F33" s="9" t="str">
        <f>"2001-06-25"</f>
        <v>2001-06-25</v>
      </c>
      <c r="G33" s="7" t="str">
        <f t="shared" si="0"/>
        <v>本科</v>
      </c>
      <c r="H33" s="7" t="str">
        <f t="shared" si="1"/>
        <v>学士</v>
      </c>
      <c r="I33" s="7" t="str">
        <f>"护理学"</f>
        <v>护理学</v>
      </c>
      <c r="J33" s="7"/>
      <c r="K33" s="7" t="s">
        <v>81</v>
      </c>
    </row>
    <row r="34" s="2" customFormat="1" ht="24.95" customHeight="1" spans="1:11">
      <c r="A34" s="7">
        <v>33</v>
      </c>
      <c r="B34" s="8" t="str">
        <f>"李引桂"</f>
        <v>李引桂</v>
      </c>
      <c r="C34" s="9" t="s">
        <v>26</v>
      </c>
      <c r="D34" s="7" t="str">
        <f>"海南儋州"</f>
        <v>海南儋州</v>
      </c>
      <c r="E34" s="9" t="str">
        <f t="shared" si="3"/>
        <v>女</v>
      </c>
      <c r="F34" s="9" t="str">
        <f>"2000-01-25"</f>
        <v>2000-01-25</v>
      </c>
      <c r="G34" s="7" t="str">
        <f t="shared" si="0"/>
        <v>本科</v>
      </c>
      <c r="H34" s="7" t="str">
        <f t="shared" si="1"/>
        <v>学士</v>
      </c>
      <c r="I34" s="7" t="str">
        <f>"护理"</f>
        <v>护理</v>
      </c>
      <c r="J34" s="7"/>
      <c r="K34" s="7" t="s">
        <v>81</v>
      </c>
    </row>
    <row r="35" s="2" customFormat="1" ht="24.95" customHeight="1" spans="1:11">
      <c r="A35" s="7">
        <v>34</v>
      </c>
      <c r="B35" s="8" t="str">
        <f>"陈丽佳"</f>
        <v>陈丽佳</v>
      </c>
      <c r="C35" s="9" t="s">
        <v>26</v>
      </c>
      <c r="D35" s="7" t="str">
        <f>"湖南邵阳"</f>
        <v>湖南邵阳</v>
      </c>
      <c r="E35" s="9" t="str">
        <f t="shared" si="3"/>
        <v>女</v>
      </c>
      <c r="F35" s="9" t="str">
        <f>"1997-10-02"</f>
        <v>1997-10-02</v>
      </c>
      <c r="G35" s="7" t="str">
        <f t="shared" si="0"/>
        <v>本科</v>
      </c>
      <c r="H35" s="7" t="str">
        <f t="shared" si="1"/>
        <v>学士</v>
      </c>
      <c r="I35" s="7" t="str">
        <f>"护理学"</f>
        <v>护理学</v>
      </c>
      <c r="J35" s="7" t="str">
        <f>"护师"</f>
        <v>护师</v>
      </c>
      <c r="K35" s="7"/>
    </row>
    <row r="36" s="2" customFormat="1" ht="24.95" customHeight="1" spans="1:11">
      <c r="A36" s="7">
        <v>35</v>
      </c>
      <c r="B36" s="8" t="str">
        <f>"符丹哲"</f>
        <v>符丹哲</v>
      </c>
      <c r="C36" s="9" t="s">
        <v>26</v>
      </c>
      <c r="D36" s="7" t="str">
        <f>"海南琼中"</f>
        <v>海南琼中</v>
      </c>
      <c r="E36" s="9" t="str">
        <f t="shared" si="3"/>
        <v>女</v>
      </c>
      <c r="F36" s="9" t="str">
        <f>"2001-10-05"</f>
        <v>2001-10-05</v>
      </c>
      <c r="G36" s="7" t="str">
        <f t="shared" si="0"/>
        <v>本科</v>
      </c>
      <c r="H36" s="7" t="str">
        <f t="shared" si="1"/>
        <v>学士</v>
      </c>
      <c r="I36" s="7" t="str">
        <f t="shared" ref="I36:I41" si="4">"护理"</f>
        <v>护理</v>
      </c>
      <c r="J36" s="7" t="s">
        <v>21</v>
      </c>
      <c r="K36" s="7"/>
    </row>
    <row r="37" s="2" customFormat="1" ht="24.95" customHeight="1" spans="1:11">
      <c r="A37" s="7">
        <v>36</v>
      </c>
      <c r="B37" s="8" t="str">
        <f>"符颖萍"</f>
        <v>符颖萍</v>
      </c>
      <c r="C37" s="9" t="s">
        <v>26</v>
      </c>
      <c r="D37" s="7" t="str">
        <f>"海南万宁"</f>
        <v>海南万宁</v>
      </c>
      <c r="E37" s="9" t="str">
        <f t="shared" si="3"/>
        <v>女</v>
      </c>
      <c r="F37" s="9" t="str">
        <f>"1999-10-26"</f>
        <v>1999-10-26</v>
      </c>
      <c r="G37" s="7" t="str">
        <f t="shared" si="0"/>
        <v>本科</v>
      </c>
      <c r="H37" s="7" t="str">
        <f t="shared" si="1"/>
        <v>学士</v>
      </c>
      <c r="I37" s="7" t="str">
        <f t="shared" si="4"/>
        <v>护理</v>
      </c>
      <c r="J37" s="7"/>
      <c r="K37" s="7" t="s">
        <v>81</v>
      </c>
    </row>
    <row r="38" s="2" customFormat="1" ht="24.95" customHeight="1" spans="1:11">
      <c r="A38" s="7">
        <v>37</v>
      </c>
      <c r="B38" s="8" t="str">
        <f>"谭璇"</f>
        <v>谭璇</v>
      </c>
      <c r="C38" s="9" t="s">
        <v>26</v>
      </c>
      <c r="D38" s="7" t="str">
        <f>"重庆开州"</f>
        <v>重庆开州</v>
      </c>
      <c r="E38" s="9" t="str">
        <f t="shared" si="3"/>
        <v>女</v>
      </c>
      <c r="F38" s="9" t="str">
        <f>"2001-06-13"</f>
        <v>2001-06-13</v>
      </c>
      <c r="G38" s="7" t="str">
        <f t="shared" si="0"/>
        <v>本科</v>
      </c>
      <c r="H38" s="7" t="str">
        <f t="shared" si="1"/>
        <v>学士</v>
      </c>
      <c r="I38" s="7" t="str">
        <f t="shared" si="4"/>
        <v>护理</v>
      </c>
      <c r="J38" s="7"/>
      <c r="K38" s="7" t="s">
        <v>81</v>
      </c>
    </row>
    <row r="39" s="2" customFormat="1" ht="24.95" customHeight="1" spans="1:11">
      <c r="A39" s="7">
        <v>38</v>
      </c>
      <c r="B39" s="8" t="str">
        <f>"李彦俊"</f>
        <v>李彦俊</v>
      </c>
      <c r="C39" s="9" t="s">
        <v>26</v>
      </c>
      <c r="D39" s="7" t="str">
        <f>"山东蒙阴"</f>
        <v>山东蒙阴</v>
      </c>
      <c r="E39" s="9" t="str">
        <f>"男"</f>
        <v>男</v>
      </c>
      <c r="F39" s="9" t="str">
        <f>"2001-03-23"</f>
        <v>2001-03-23</v>
      </c>
      <c r="G39" s="7" t="str">
        <f t="shared" si="0"/>
        <v>本科</v>
      </c>
      <c r="H39" s="7" t="str">
        <f t="shared" si="1"/>
        <v>学士</v>
      </c>
      <c r="I39" s="7" t="str">
        <f t="shared" si="4"/>
        <v>护理</v>
      </c>
      <c r="J39" s="7" t="str">
        <f>"护士"</f>
        <v>护士</v>
      </c>
      <c r="K39" s="7"/>
    </row>
    <row r="40" s="2" customFormat="1" ht="24.95" customHeight="1" spans="1:11">
      <c r="A40" s="7">
        <v>39</v>
      </c>
      <c r="B40" s="8" t="str">
        <f>"文周平"</f>
        <v>文周平</v>
      </c>
      <c r="C40" s="9" t="s">
        <v>26</v>
      </c>
      <c r="D40" s="7" t="str">
        <f>"海南东方"</f>
        <v>海南东方</v>
      </c>
      <c r="E40" s="9" t="str">
        <f>"女"</f>
        <v>女</v>
      </c>
      <c r="F40" s="9" t="str">
        <f>"1996-02-15"</f>
        <v>1996-02-15</v>
      </c>
      <c r="G40" s="7" t="str">
        <f t="shared" si="0"/>
        <v>本科</v>
      </c>
      <c r="H40" s="7" t="str">
        <f t="shared" si="1"/>
        <v>学士</v>
      </c>
      <c r="I40" s="7" t="str">
        <f t="shared" si="4"/>
        <v>护理</v>
      </c>
      <c r="J40" s="7"/>
      <c r="K40" s="7" t="s">
        <v>81</v>
      </c>
    </row>
    <row r="41" s="2" customFormat="1" ht="24.95" customHeight="1" spans="1:11">
      <c r="A41" s="7">
        <v>40</v>
      </c>
      <c r="B41" s="8" t="str">
        <f>"徐雯蕙"</f>
        <v>徐雯蕙</v>
      </c>
      <c r="C41" s="9" t="s">
        <v>26</v>
      </c>
      <c r="D41" s="7" t="str">
        <f>"浙江衢州"</f>
        <v>浙江衢州</v>
      </c>
      <c r="E41" s="9" t="str">
        <f>"女"</f>
        <v>女</v>
      </c>
      <c r="F41" s="9" t="str">
        <f>"2001-03-09"</f>
        <v>2001-03-09</v>
      </c>
      <c r="G41" s="7" t="str">
        <f t="shared" si="0"/>
        <v>本科</v>
      </c>
      <c r="H41" s="7" t="str">
        <f t="shared" si="1"/>
        <v>学士</v>
      </c>
      <c r="I41" s="7" t="str">
        <f t="shared" si="4"/>
        <v>护理</v>
      </c>
      <c r="J41" s="7" t="s">
        <v>21</v>
      </c>
      <c r="K41" s="7"/>
    </row>
    <row r="42" s="2" customFormat="1" ht="24.95" customHeight="1" spans="1:11">
      <c r="A42" s="7">
        <v>41</v>
      </c>
      <c r="B42" s="8" t="str">
        <f>"黄婉洁"</f>
        <v>黄婉洁</v>
      </c>
      <c r="C42" s="9" t="s">
        <v>60</v>
      </c>
      <c r="D42" s="7" t="str">
        <f>"海南澄迈"</f>
        <v>海南澄迈</v>
      </c>
      <c r="E42" s="9" t="str">
        <f>"女"</f>
        <v>女</v>
      </c>
      <c r="F42" s="9" t="str">
        <f>"2002-02-07"</f>
        <v>2002-02-07</v>
      </c>
      <c r="G42" s="7" t="str">
        <f t="shared" si="0"/>
        <v>本科</v>
      </c>
      <c r="H42" s="7" t="str">
        <f t="shared" si="1"/>
        <v>学士</v>
      </c>
      <c r="I42" s="7" t="str">
        <f t="shared" ref="I42:I50" si="5">"康复治疗学"</f>
        <v>康复治疗学</v>
      </c>
      <c r="J42" s="7"/>
      <c r="K42" s="7"/>
    </row>
    <row r="43" s="2" customFormat="1" ht="24.95" customHeight="1" spans="1:11">
      <c r="A43" s="7">
        <v>42</v>
      </c>
      <c r="B43" s="8" t="str">
        <f>"羊淑娉"</f>
        <v>羊淑娉</v>
      </c>
      <c r="C43" s="9" t="s">
        <v>60</v>
      </c>
      <c r="D43" s="7" t="str">
        <f>"海南儋州"</f>
        <v>海南儋州</v>
      </c>
      <c r="E43" s="9" t="str">
        <f>"女"</f>
        <v>女</v>
      </c>
      <c r="F43" s="9" t="str">
        <f>"2002-03-05"</f>
        <v>2002-03-05</v>
      </c>
      <c r="G43" s="7" t="str">
        <f t="shared" si="0"/>
        <v>本科</v>
      </c>
      <c r="H43" s="7" t="str">
        <f t="shared" si="1"/>
        <v>学士</v>
      </c>
      <c r="I43" s="7" t="str">
        <f t="shared" si="5"/>
        <v>康复治疗学</v>
      </c>
      <c r="J43" s="7"/>
      <c r="K43" s="7"/>
    </row>
    <row r="44" s="2" customFormat="1" ht="24.95" customHeight="1" spans="1:11">
      <c r="A44" s="7">
        <v>43</v>
      </c>
      <c r="B44" s="8" t="str">
        <f>"甘芃蓉"</f>
        <v>甘芃蓉</v>
      </c>
      <c r="C44" s="9" t="s">
        <v>60</v>
      </c>
      <c r="D44" s="7" t="str">
        <f>"海南屯昌"</f>
        <v>海南屯昌</v>
      </c>
      <c r="E44" s="9" t="str">
        <f>"女"</f>
        <v>女</v>
      </c>
      <c r="F44" s="9" t="str">
        <f>"2001-05-08"</f>
        <v>2001-05-08</v>
      </c>
      <c r="G44" s="7" t="str">
        <f t="shared" si="0"/>
        <v>本科</v>
      </c>
      <c r="H44" s="7" t="str">
        <f t="shared" si="1"/>
        <v>学士</v>
      </c>
      <c r="I44" s="7" t="str">
        <f t="shared" si="5"/>
        <v>康复治疗学</v>
      </c>
      <c r="J44" s="7"/>
      <c r="K44" s="7"/>
    </row>
    <row r="45" s="2" customFormat="1" ht="24.95" customHeight="1" spans="1:11">
      <c r="A45" s="7">
        <v>44</v>
      </c>
      <c r="B45" s="8" t="str">
        <f>"符策渠"</f>
        <v>符策渠</v>
      </c>
      <c r="C45" s="9" t="s">
        <v>62</v>
      </c>
      <c r="D45" s="7" t="str">
        <f>"海南定安"</f>
        <v>海南定安</v>
      </c>
      <c r="E45" s="9" t="str">
        <f>"男"</f>
        <v>男</v>
      </c>
      <c r="F45" s="9" t="str">
        <f>"1995-03-13"</f>
        <v>1995-03-13</v>
      </c>
      <c r="G45" s="7" t="str">
        <f t="shared" si="0"/>
        <v>本科</v>
      </c>
      <c r="H45" s="7" t="str">
        <f t="shared" si="1"/>
        <v>学士</v>
      </c>
      <c r="I45" s="7" t="str">
        <f t="shared" si="5"/>
        <v>康复治疗学</v>
      </c>
      <c r="J45" s="7"/>
      <c r="K45" s="7"/>
    </row>
    <row r="46" s="2" customFormat="1" ht="24.95" customHeight="1" spans="1:11">
      <c r="A46" s="7">
        <v>45</v>
      </c>
      <c r="B46" s="8" t="str">
        <f>"黎丽梅"</f>
        <v>黎丽梅</v>
      </c>
      <c r="C46" s="9" t="s">
        <v>63</v>
      </c>
      <c r="D46" s="7" t="str">
        <f>"海南屯昌"</f>
        <v>海南屯昌</v>
      </c>
      <c r="E46" s="9" t="str">
        <f>"女"</f>
        <v>女</v>
      </c>
      <c r="F46" s="9" t="str">
        <f>"1997-07-15"</f>
        <v>1997-07-15</v>
      </c>
      <c r="G46" s="7" t="str">
        <f t="shared" si="0"/>
        <v>本科</v>
      </c>
      <c r="H46" s="7" t="str">
        <f t="shared" si="1"/>
        <v>学士</v>
      </c>
      <c r="I46" s="7" t="str">
        <f t="shared" si="5"/>
        <v>康复治疗学</v>
      </c>
      <c r="J46" s="7" t="str">
        <f>"康复医学治疗技师"</f>
        <v>康复医学治疗技师</v>
      </c>
      <c r="K46" s="7"/>
    </row>
    <row r="47" s="2" customFormat="1" ht="24.95" customHeight="1" spans="1:11">
      <c r="A47" s="7">
        <v>46</v>
      </c>
      <c r="B47" s="8" t="str">
        <f>"林淑丽"</f>
        <v>林淑丽</v>
      </c>
      <c r="C47" s="9" t="s">
        <v>63</v>
      </c>
      <c r="D47" s="7" t="str">
        <f>"海南儋州"</f>
        <v>海南儋州</v>
      </c>
      <c r="E47" s="9" t="str">
        <f>"女"</f>
        <v>女</v>
      </c>
      <c r="F47" s="9" t="str">
        <f>"1998-04-21"</f>
        <v>1998-04-21</v>
      </c>
      <c r="G47" s="7" t="str">
        <f t="shared" si="0"/>
        <v>本科</v>
      </c>
      <c r="H47" s="7" t="str">
        <f t="shared" si="1"/>
        <v>学士</v>
      </c>
      <c r="I47" s="7" t="str">
        <f t="shared" si="5"/>
        <v>康复治疗学</v>
      </c>
      <c r="J47" s="7" t="str">
        <f>"康复医学治疗技师"</f>
        <v>康复医学治疗技师</v>
      </c>
      <c r="K47" s="7"/>
    </row>
    <row r="48" s="2" customFormat="1" ht="24.95" customHeight="1" spans="1:11">
      <c r="A48" s="7">
        <v>47</v>
      </c>
      <c r="B48" s="8" t="str">
        <f>"陈海亮"</f>
        <v>陈海亮</v>
      </c>
      <c r="C48" s="9" t="s">
        <v>63</v>
      </c>
      <c r="D48" s="7" t="str">
        <f>"海南儋州"</f>
        <v>海南儋州</v>
      </c>
      <c r="E48" s="9" t="str">
        <f>"男"</f>
        <v>男</v>
      </c>
      <c r="F48" s="9" t="str">
        <f>"1998-12-25"</f>
        <v>1998-12-25</v>
      </c>
      <c r="G48" s="7" t="str">
        <f t="shared" si="0"/>
        <v>本科</v>
      </c>
      <c r="H48" s="7" t="str">
        <f t="shared" si="1"/>
        <v>学士</v>
      </c>
      <c r="I48" s="7" t="str">
        <f t="shared" si="5"/>
        <v>康复治疗学</v>
      </c>
      <c r="J48" s="7" t="str">
        <f>"康复医学治疗技师"</f>
        <v>康复医学治疗技师</v>
      </c>
      <c r="K48" s="7"/>
    </row>
    <row r="49" s="2" customFormat="1" ht="24.95" customHeight="1" spans="1:11">
      <c r="A49" s="7">
        <v>48</v>
      </c>
      <c r="B49" s="8" t="str">
        <f>"叶桥娜"</f>
        <v>叶桥娜</v>
      </c>
      <c r="C49" s="9" t="s">
        <v>63</v>
      </c>
      <c r="D49" s="7" t="str">
        <f>"海南屯昌"</f>
        <v>海南屯昌</v>
      </c>
      <c r="E49" s="9" t="str">
        <f>"女"</f>
        <v>女</v>
      </c>
      <c r="F49" s="9" t="str">
        <f>"1998-11-12"</f>
        <v>1998-11-12</v>
      </c>
      <c r="G49" s="7" t="str">
        <f t="shared" si="0"/>
        <v>本科</v>
      </c>
      <c r="H49" s="7" t="str">
        <f t="shared" si="1"/>
        <v>学士</v>
      </c>
      <c r="I49" s="7" t="str">
        <f t="shared" si="5"/>
        <v>康复治疗学</v>
      </c>
      <c r="J49" s="7" t="str">
        <f>"康复医学治疗技师"</f>
        <v>康复医学治疗技师</v>
      </c>
      <c r="K49" s="7"/>
    </row>
    <row r="50" s="2" customFormat="1" ht="24.95" customHeight="1" spans="1:11">
      <c r="A50" s="7">
        <v>49</v>
      </c>
      <c r="B50" s="8" t="str">
        <f>"陈玉嫦"</f>
        <v>陈玉嫦</v>
      </c>
      <c r="C50" s="9" t="s">
        <v>63</v>
      </c>
      <c r="D50" s="7" t="str">
        <f>"海南乐东"</f>
        <v>海南乐东</v>
      </c>
      <c r="E50" s="9" t="str">
        <f>"女"</f>
        <v>女</v>
      </c>
      <c r="F50" s="9" t="str">
        <f>"1998-05-20"</f>
        <v>1998-05-20</v>
      </c>
      <c r="G50" s="7" t="str">
        <f t="shared" si="0"/>
        <v>本科</v>
      </c>
      <c r="H50" s="7" t="str">
        <f t="shared" si="1"/>
        <v>学士</v>
      </c>
      <c r="I50" s="7" t="str">
        <f t="shared" si="5"/>
        <v>康复治疗学</v>
      </c>
      <c r="J50" s="7" t="str">
        <f>"康复医学治疗技师"</f>
        <v>康复医学治疗技师</v>
      </c>
      <c r="K50" s="7"/>
    </row>
    <row r="51" s="2" customFormat="1" ht="24.95" customHeight="1" spans="1:11">
      <c r="A51" s="7">
        <v>50</v>
      </c>
      <c r="B51" s="8" t="str">
        <f>"吴旭霖"</f>
        <v>吴旭霖</v>
      </c>
      <c r="C51" s="9" t="s">
        <v>65</v>
      </c>
      <c r="D51" s="7" t="str">
        <f>"海南海口"</f>
        <v>海南海口</v>
      </c>
      <c r="E51" s="9" t="str">
        <f>"女"</f>
        <v>女</v>
      </c>
      <c r="F51" s="9" t="str">
        <f>"1999-01-07"</f>
        <v>1999-01-07</v>
      </c>
      <c r="G51" s="7" t="str">
        <f t="shared" si="0"/>
        <v>本科</v>
      </c>
      <c r="H51" s="7" t="str">
        <f t="shared" si="1"/>
        <v>学士</v>
      </c>
      <c r="I51" s="7" t="str">
        <f>"新闻学"</f>
        <v>新闻学</v>
      </c>
      <c r="J51" s="7"/>
      <c r="K51" s="7"/>
    </row>
    <row r="52" s="2" customFormat="1" ht="24.95" customHeight="1" spans="1:11">
      <c r="A52" s="7">
        <v>51</v>
      </c>
      <c r="B52" s="8" t="str">
        <f>"陈昱妃"</f>
        <v>陈昱妃</v>
      </c>
      <c r="C52" s="9" t="s">
        <v>65</v>
      </c>
      <c r="D52" s="7" t="str">
        <f>"海南定安"</f>
        <v>海南定安</v>
      </c>
      <c r="E52" s="9" t="str">
        <f>"女"</f>
        <v>女</v>
      </c>
      <c r="F52" s="9" t="str">
        <f>"1998-09-04"</f>
        <v>1998-09-04</v>
      </c>
      <c r="G52" s="7" t="str">
        <f t="shared" si="0"/>
        <v>本科</v>
      </c>
      <c r="H52" s="7" t="str">
        <f t="shared" si="1"/>
        <v>学士</v>
      </c>
      <c r="I52" s="7" t="str">
        <f>"汉语言文学"</f>
        <v>汉语言文学</v>
      </c>
      <c r="J52" s="7"/>
      <c r="K52" s="7"/>
    </row>
    <row r="53" s="2" customFormat="1" ht="24.95" customHeight="1" spans="1:11">
      <c r="A53" s="7">
        <v>52</v>
      </c>
      <c r="B53" s="8" t="str">
        <f>"汪露露"</f>
        <v>汪露露</v>
      </c>
      <c r="C53" s="9" t="s">
        <v>68</v>
      </c>
      <c r="D53" s="7" t="str">
        <f>"河南商城"</f>
        <v>河南商城</v>
      </c>
      <c r="E53" s="9" t="str">
        <f>"女"</f>
        <v>女</v>
      </c>
      <c r="F53" s="9" t="str">
        <f>"1994-11-12"</f>
        <v>1994-11-12</v>
      </c>
      <c r="G53" s="7" t="str">
        <f t="shared" si="0"/>
        <v>本科</v>
      </c>
      <c r="H53" s="7" t="str">
        <f t="shared" si="1"/>
        <v>学士</v>
      </c>
      <c r="I53" s="7" t="str">
        <f>"眼视光学"</f>
        <v>眼视光学</v>
      </c>
      <c r="J53" s="7" t="str">
        <f>"眼视光技术师"</f>
        <v>眼视光技术师</v>
      </c>
      <c r="K53" s="7"/>
    </row>
    <row r="54" s="2" customFormat="1" ht="24.95" customHeight="1" spans="1:11">
      <c r="A54" s="7">
        <v>53</v>
      </c>
      <c r="B54" s="8" t="str">
        <f>"吴丰"</f>
        <v>吴丰</v>
      </c>
      <c r="C54" s="9" t="s">
        <v>69</v>
      </c>
      <c r="D54" s="7" t="str">
        <f>"海南海口"</f>
        <v>海南海口</v>
      </c>
      <c r="E54" s="9" t="str">
        <f>"男"</f>
        <v>男</v>
      </c>
      <c r="F54" s="9" t="str">
        <f>"1994-06-03"</f>
        <v>1994-06-03</v>
      </c>
      <c r="G54" s="7" t="str">
        <f t="shared" si="0"/>
        <v>本科</v>
      </c>
      <c r="H54" s="7" t="str">
        <f t="shared" si="1"/>
        <v>学士</v>
      </c>
      <c r="I54" s="7" t="str">
        <f>"临床医学"</f>
        <v>临床医学</v>
      </c>
      <c r="J54" s="7" t="str">
        <f t="shared" ref="J54:J59" si="6">"医师"</f>
        <v>医师</v>
      </c>
      <c r="K54" s="7"/>
    </row>
    <row r="55" s="2" customFormat="1" ht="24.95" customHeight="1" spans="1:11">
      <c r="A55" s="7">
        <v>54</v>
      </c>
      <c r="B55" s="8" t="str">
        <f>"刘慧月"</f>
        <v>刘慧月</v>
      </c>
      <c r="C55" s="9" t="s">
        <v>69</v>
      </c>
      <c r="D55" s="7" t="str">
        <f>"广西岑溪"</f>
        <v>广西岑溪</v>
      </c>
      <c r="E55" s="9" t="str">
        <f>"女"</f>
        <v>女</v>
      </c>
      <c r="F55" s="9" t="str">
        <f>"1997-03-29"</f>
        <v>1997-03-29</v>
      </c>
      <c r="G55" s="7" t="str">
        <f>"研究生"</f>
        <v>研究生</v>
      </c>
      <c r="H55" s="7" t="str">
        <f>"硕士"</f>
        <v>硕士</v>
      </c>
      <c r="I55" s="7" t="str">
        <f>"儿科学"</f>
        <v>儿科学</v>
      </c>
      <c r="J55" s="7" t="str">
        <f t="shared" si="6"/>
        <v>医师</v>
      </c>
      <c r="K55" s="7"/>
    </row>
    <row r="56" s="2" customFormat="1" ht="24.95" customHeight="1" spans="1:11">
      <c r="A56" s="7">
        <v>55</v>
      </c>
      <c r="B56" s="8" t="str">
        <f>"翁敦岱"</f>
        <v>翁敦岱</v>
      </c>
      <c r="C56" s="9" t="s">
        <v>69</v>
      </c>
      <c r="D56" s="7" t="str">
        <f>"海南海口"</f>
        <v>海南海口</v>
      </c>
      <c r="E56" s="9" t="str">
        <f>"女"</f>
        <v>女</v>
      </c>
      <c r="F56" s="9" t="str">
        <f>"1996-03-09"</f>
        <v>1996-03-09</v>
      </c>
      <c r="G56" s="7" t="str">
        <f>"本科"</f>
        <v>本科</v>
      </c>
      <c r="H56" s="7" t="str">
        <f>"学士"</f>
        <v>学士</v>
      </c>
      <c r="I56" s="7" t="str">
        <f>"临床医学"</f>
        <v>临床医学</v>
      </c>
      <c r="J56" s="7" t="str">
        <f t="shared" si="6"/>
        <v>医师</v>
      </c>
      <c r="K56" s="7"/>
    </row>
    <row r="57" s="2" customFormat="1" ht="24.95" customHeight="1" spans="1:11">
      <c r="A57" s="7">
        <v>56</v>
      </c>
      <c r="B57" s="8" t="str">
        <f>"郑永伦"</f>
        <v>郑永伦</v>
      </c>
      <c r="C57" s="9" t="s">
        <v>71</v>
      </c>
      <c r="D57" s="7" t="str">
        <f>"海南万宁"</f>
        <v>海南万宁</v>
      </c>
      <c r="E57" s="9" t="str">
        <f>"男"</f>
        <v>男</v>
      </c>
      <c r="F57" s="9" t="str">
        <f>"1997-11-03"</f>
        <v>1997-11-03</v>
      </c>
      <c r="G57" s="7" t="str">
        <f>"研究生"</f>
        <v>研究生</v>
      </c>
      <c r="H57" s="7" t="str">
        <f>"硕士"</f>
        <v>硕士</v>
      </c>
      <c r="I57" s="7" t="str">
        <f>"中医儿科学"</f>
        <v>中医儿科学</v>
      </c>
      <c r="J57" s="7" t="str">
        <f t="shared" si="6"/>
        <v>医师</v>
      </c>
      <c r="K57" s="7"/>
    </row>
    <row r="58" s="2" customFormat="1" ht="24.95" customHeight="1" spans="1:11">
      <c r="A58" s="7">
        <v>57</v>
      </c>
      <c r="B58" s="8" t="str">
        <f>"林美婕"</f>
        <v>林美婕</v>
      </c>
      <c r="C58" s="9" t="s">
        <v>73</v>
      </c>
      <c r="D58" s="7" t="str">
        <f>"海南文昌"</f>
        <v>海南文昌</v>
      </c>
      <c r="E58" s="9" t="str">
        <f>"女"</f>
        <v>女</v>
      </c>
      <c r="F58" s="9" t="str">
        <f>"1996-08-28"</f>
        <v>1996-08-28</v>
      </c>
      <c r="G58" s="7" t="str">
        <f>"研究生"</f>
        <v>研究生</v>
      </c>
      <c r="H58" s="7" t="str">
        <f>"硕士"</f>
        <v>硕士</v>
      </c>
      <c r="I58" s="7" t="str">
        <f>"妇产科学"</f>
        <v>妇产科学</v>
      </c>
      <c r="J58" s="7" t="str">
        <f t="shared" si="6"/>
        <v>医师</v>
      </c>
      <c r="K58" s="7"/>
    </row>
    <row r="59" s="2" customFormat="1" ht="24.95" customHeight="1" spans="1:11">
      <c r="A59" s="7">
        <v>58</v>
      </c>
      <c r="B59" s="8" t="str">
        <f>"李伟成"</f>
        <v>李伟成</v>
      </c>
      <c r="C59" s="9" t="s">
        <v>75</v>
      </c>
      <c r="D59" s="7" t="str">
        <f>"海南临高"</f>
        <v>海南临高</v>
      </c>
      <c r="E59" s="9" t="str">
        <f>"男"</f>
        <v>男</v>
      </c>
      <c r="F59" s="9" t="str">
        <f>"1995-12-21"</f>
        <v>1995-12-21</v>
      </c>
      <c r="G59" s="7" t="str">
        <f>"研究生"</f>
        <v>研究生</v>
      </c>
      <c r="H59" s="7" t="str">
        <f>"硕士"</f>
        <v>硕士</v>
      </c>
      <c r="I59" s="7" t="str">
        <f>"外科学"</f>
        <v>外科学</v>
      </c>
      <c r="J59" s="7" t="str">
        <f t="shared" si="6"/>
        <v>医师</v>
      </c>
      <c r="K59" s="7"/>
    </row>
    <row r="60" s="2" customFormat="1" ht="24.95" customHeight="1" spans="1:11">
      <c r="A60" s="7">
        <v>59</v>
      </c>
      <c r="B60" s="8" t="str">
        <f>"冯小晨"</f>
        <v>冯小晨</v>
      </c>
      <c r="C60" s="9" t="s">
        <v>77</v>
      </c>
      <c r="D60" s="7" t="str">
        <f>"安徽阜南"</f>
        <v>安徽阜南</v>
      </c>
      <c r="E60" s="9" t="s">
        <v>78</v>
      </c>
      <c r="F60" s="9" t="str">
        <f>"1989-10-21"</f>
        <v>1989-10-21</v>
      </c>
      <c r="G60" s="7" t="str">
        <f>"本科"</f>
        <v>本科</v>
      </c>
      <c r="H60" s="7" t="str">
        <f>"学士"</f>
        <v>学士</v>
      </c>
      <c r="I60" s="7" t="str">
        <f>"生物医学工程"</f>
        <v>生物医学工程</v>
      </c>
      <c r="J60" s="7"/>
      <c r="K60" s="7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小茜</cp:lastModifiedBy>
  <dcterms:created xsi:type="dcterms:W3CDTF">2023-05-12T11:15:00Z</dcterms:created>
  <dcterms:modified xsi:type="dcterms:W3CDTF">2024-12-24T01:36:28Z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AA02E2F76CA247759519C6F0BDEC12DF_12</vt:lpwstr>
  </property>
</Properties>
</file>